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 tabRatio="789" firstSheet="2" activeTab="6"/>
  </bookViews>
  <sheets>
    <sheet name="foxz" sheetId="2" state="veryHidden" r:id="rId1"/>
    <sheet name="gia đoạn 1" sheetId="1" state="hidden" r:id="rId2"/>
    <sheet name="Sơ bộ TMĐT" sheetId="12" r:id="rId3"/>
    <sheet name="kinh doanh" sheetId="13" r:id="rId4"/>
    <sheet name="Hiệu quả kinh tế" sheetId="8" r:id="rId5"/>
    <sheet name="Bảng tính lãi vay" sheetId="4" r:id="rId6"/>
    <sheet name="Bảng tính chi phí" sheetId="3" r:id="rId7"/>
    <sheet name="Gia tri khu dat" sheetId="10" r:id="rId8"/>
    <sheet name="Bảng tính lãi vay (2)" sheetId="7" state="hidden" r:id="rId9"/>
    <sheet name="Bảng tính chi phí (2)" sheetId="6" state="hidden" r:id="rId10"/>
  </sheets>
  <externalReferences>
    <externalReference r:id="rId11"/>
    <externalReference r:id="rId12"/>
  </externalReferences>
  <definedNames>
    <definedName name="_xlnm.Print_Area" localSheetId="6">'Bảng tính chi phí'!$A$2:$H$12</definedName>
    <definedName name="_xlnm.Print_Area" localSheetId="5">'Bảng tính lãi vay'!$A$1:$H$15</definedName>
    <definedName name="_xlnm.Print_Area" localSheetId="7">'Gia tri khu dat'!$A$1:$J$51</definedName>
    <definedName name="_xlnm.Print_Area" localSheetId="4">'Hiệu quả kinh tế'!$A$1:$H$25</definedName>
    <definedName name="_xlnm.Print_Area" localSheetId="3">'kinh doanh'!$A$1:$J$40</definedName>
    <definedName name="_xlnm.Print_Area" localSheetId="2">'Sơ bộ TMĐT'!$A$1:$K$15</definedName>
    <definedName name="_xlnm.Print_Titles" localSheetId="6">'Bảng tính chi phí'!$B:$B</definedName>
    <definedName name="_xlnm.Print_Titles" localSheetId="1">'gia đoạn 1'!$B:$B</definedName>
    <definedName name="_xlnm.Print_Titles" localSheetId="7">'Gia tri khu dat'!$2:$2</definedName>
    <definedName name="_xlnm.Print_Titles" localSheetId="4">'Hiệu quả kinh tế'!$B:$B</definedName>
    <definedName name="_xlnm.Print_Titles" localSheetId="3">'kinh doanh'!$3:$3</definedName>
  </definedNames>
  <calcPr calcId="12451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2"/>
  <c r="L17"/>
  <c r="I28" i="8"/>
  <c r="E13" i="13" l="1"/>
  <c r="J8" i="12"/>
  <c r="F13" i="13" l="1"/>
  <c r="J9" i="12"/>
  <c r="F8" i="10" l="1"/>
  <c r="F28"/>
  <c r="F29" s="1"/>
  <c r="F17"/>
  <c r="F23" l="1"/>
  <c r="F24"/>
  <c r="F25"/>
  <c r="F26"/>
  <c r="F27"/>
  <c r="C32"/>
  <c r="D21" i="13" s="1"/>
  <c r="D30" s="1"/>
  <c r="G37" i="10" s="1"/>
  <c r="C13"/>
  <c r="C7"/>
  <c r="G4"/>
  <c r="N6"/>
  <c r="F9"/>
  <c r="D29"/>
  <c r="D28"/>
  <c r="D21"/>
  <c r="D22"/>
  <c r="D23"/>
  <c r="D24"/>
  <c r="D25"/>
  <c r="D26"/>
  <c r="D27"/>
  <c r="D20"/>
  <c r="D19"/>
  <c r="D14"/>
  <c r="D13"/>
  <c r="D12"/>
  <c r="D7"/>
  <c r="D17"/>
  <c r="D9"/>
  <c r="D8"/>
  <c r="D6"/>
  <c r="D4"/>
  <c r="F22"/>
  <c r="G22" s="1"/>
  <c r="F21"/>
  <c r="G21" s="1"/>
  <c r="F20"/>
  <c r="G20" s="1"/>
  <c r="F19"/>
  <c r="G19" s="1"/>
  <c r="F18"/>
  <c r="G18" s="1"/>
  <c r="G17"/>
  <c r="G9" l="1"/>
  <c r="G8"/>
  <c r="F7"/>
  <c r="G7" s="1"/>
  <c r="C18" i="8" l="1"/>
  <c r="C20" s="1"/>
  <c r="N32" i="4" l="1"/>
  <c r="N31"/>
  <c r="N30"/>
  <c r="N29"/>
  <c r="N28"/>
  <c r="N27"/>
  <c r="N26"/>
  <c r="N30" i="13"/>
  <c r="D31"/>
  <c r="D29" s="1"/>
  <c r="D37"/>
  <c r="J36" l="1"/>
  <c r="D36" s="1"/>
  <c r="I34" l="1"/>
  <c r="J34" s="1"/>
  <c r="D12"/>
  <c r="D5"/>
  <c r="E54"/>
  <c r="Q46"/>
  <c r="D46"/>
  <c r="H46" s="1"/>
  <c r="E42"/>
  <c r="D42" s="1"/>
  <c r="D9"/>
  <c r="D6"/>
  <c r="O29" i="12"/>
  <c r="N28"/>
  <c r="O28" s="1"/>
  <c r="O27"/>
  <c r="O26"/>
  <c r="O25"/>
  <c r="O24"/>
  <c r="O23"/>
  <c r="O22"/>
  <c r="O21"/>
  <c r="O20"/>
  <c r="H9"/>
  <c r="I9" s="1"/>
  <c r="L8"/>
  <c r="H8"/>
  <c r="N30" l="1"/>
  <c r="N32" s="1"/>
  <c r="D8" i="13"/>
  <c r="E10" s="1"/>
  <c r="J7"/>
  <c r="G40" i="10"/>
  <c r="I7" i="13"/>
  <c r="E40"/>
  <c r="E39" s="1"/>
  <c r="E38" s="1"/>
  <c r="F40"/>
  <c r="F39" s="1"/>
  <c r="F38" s="1"/>
  <c r="F43" s="1"/>
  <c r="I40"/>
  <c r="I39" s="1"/>
  <c r="I38" s="1"/>
  <c r="J40"/>
  <c r="J39" s="1"/>
  <c r="J38" s="1"/>
  <c r="D20"/>
  <c r="G40"/>
  <c r="G39" s="1"/>
  <c r="H40"/>
  <c r="F46"/>
  <c r="E7"/>
  <c r="G46"/>
  <c r="F7"/>
  <c r="G7"/>
  <c r="H7"/>
  <c r="E55"/>
  <c r="H7" i="12"/>
  <c r="I8"/>
  <c r="I7" s="1"/>
  <c r="J7"/>
  <c r="O30" l="1"/>
  <c r="I13" i="13"/>
  <c r="F8" i="8"/>
  <c r="G42" i="10"/>
  <c r="G13" i="13"/>
  <c r="E4"/>
  <c r="C6" i="8" s="1"/>
  <c r="I10" i="13"/>
  <c r="D4"/>
  <c r="H13"/>
  <c r="J13"/>
  <c r="H10"/>
  <c r="G10"/>
  <c r="F10"/>
  <c r="J10"/>
  <c r="G41" i="10"/>
  <c r="G44" s="1"/>
  <c r="D9" i="3"/>
  <c r="D9" i="8"/>
  <c r="H39" i="13"/>
  <c r="H38" s="1"/>
  <c r="D40"/>
  <c r="D39" s="1"/>
  <c r="H9" i="8"/>
  <c r="H9" i="3"/>
  <c r="G9" i="8"/>
  <c r="G9" i="3"/>
  <c r="G38" i="13"/>
  <c r="F52"/>
  <c r="D7"/>
  <c r="J11" i="12"/>
  <c r="E45" i="13" l="1"/>
  <c r="I16"/>
  <c r="I17" s="1"/>
  <c r="I18" s="1"/>
  <c r="E16"/>
  <c r="E15" s="1"/>
  <c r="G45"/>
  <c r="J10" i="12"/>
  <c r="J13" s="1"/>
  <c r="J14" s="1"/>
  <c r="F45" i="13"/>
  <c r="D13"/>
  <c r="H16"/>
  <c r="H17" s="1"/>
  <c r="D10"/>
  <c r="H4"/>
  <c r="F6" i="8" s="1"/>
  <c r="E3" i="4"/>
  <c r="G16" i="13"/>
  <c r="G17" s="1"/>
  <c r="G4"/>
  <c r="E6" i="8" s="1"/>
  <c r="J16" i="13"/>
  <c r="J15" s="1"/>
  <c r="F4"/>
  <c r="D6" i="8" s="1"/>
  <c r="F16" i="13"/>
  <c r="F17" s="1"/>
  <c r="H45"/>
  <c r="G52"/>
  <c r="E9" i="3"/>
  <c r="E9" i="8"/>
  <c r="H43" i="13"/>
  <c r="F9" i="8"/>
  <c r="F9" i="3"/>
  <c r="D38" i="13"/>
  <c r="G43"/>
  <c r="H52"/>
  <c r="D52" s="1"/>
  <c r="E43"/>
  <c r="E17" l="1"/>
  <c r="E18" s="1"/>
  <c r="D45"/>
  <c r="I15"/>
  <c r="F15"/>
  <c r="G18"/>
  <c r="J17"/>
  <c r="J18" s="1"/>
  <c r="G15"/>
  <c r="D16"/>
  <c r="F18"/>
  <c r="H15"/>
  <c r="H18"/>
  <c r="D43"/>
  <c r="E48"/>
  <c r="D17"/>
  <c r="D15" l="1"/>
  <c r="D18"/>
  <c r="E47"/>
  <c r="E41" l="1"/>
  <c r="E49"/>
  <c r="F48" s="1"/>
  <c r="F47" l="1"/>
  <c r="F49" s="1"/>
  <c r="G48" s="1"/>
  <c r="E51"/>
  <c r="F41" l="1"/>
  <c r="G47"/>
  <c r="G41" s="1"/>
  <c r="G51" s="1"/>
  <c r="G53" s="1"/>
  <c r="F51" l="1"/>
  <c r="G54"/>
  <c r="G55" s="1"/>
  <c r="G49"/>
  <c r="H48" s="1"/>
  <c r="F53" l="1"/>
  <c r="H47"/>
  <c r="F54" l="1"/>
  <c r="F55" s="1"/>
  <c r="H41"/>
  <c r="D47"/>
  <c r="H49"/>
  <c r="H51" l="1"/>
  <c r="D41"/>
  <c r="H53" l="1"/>
  <c r="D51"/>
  <c r="H54" l="1"/>
  <c r="D54" s="1"/>
  <c r="D53"/>
  <c r="H55" l="1"/>
  <c r="D55" s="1"/>
  <c r="G29" i="10" l="1"/>
  <c r="G27"/>
  <c r="G26"/>
  <c r="G25"/>
  <c r="G24"/>
  <c r="G23"/>
  <c r="F14"/>
  <c r="G14" s="1"/>
  <c r="F13"/>
  <c r="G13" s="1"/>
  <c r="F6"/>
  <c r="F5"/>
  <c r="G5" s="1"/>
  <c r="G28"/>
  <c r="G12"/>
  <c r="G11"/>
  <c r="G10"/>
  <c r="G6" l="1"/>
  <c r="G32" s="1"/>
  <c r="R49"/>
  <c r="R51" s="1"/>
  <c r="R52" s="1"/>
  <c r="R43"/>
  <c r="R41"/>
  <c r="G31" l="1"/>
  <c r="G36" s="1"/>
  <c r="G43" l="1"/>
  <c r="G46" s="1"/>
  <c r="G38"/>
  <c r="L38" s="1"/>
  <c r="B49" l="1"/>
  <c r="G50"/>
  <c r="G51" s="1"/>
  <c r="C7" i="3" s="1"/>
  <c r="C9"/>
  <c r="E12" i="8" l="1"/>
  <c r="F12"/>
  <c r="G12"/>
  <c r="H12"/>
  <c r="D12"/>
  <c r="C12" i="3" l="1"/>
  <c r="C10" i="8" s="1"/>
  <c r="C15" l="1"/>
  <c r="C19"/>
  <c r="C21" s="1"/>
  <c r="E5" i="4"/>
  <c r="C16" i="8" l="1"/>
  <c r="C17" l="1"/>
  <c r="M19" i="4"/>
  <c r="M17"/>
  <c r="M18" s="1"/>
  <c r="D12" i="1" l="1"/>
  <c r="E7" i="8" l="1"/>
  <c r="E18" s="1"/>
  <c r="E20" s="1"/>
  <c r="D7"/>
  <c r="D18" s="1"/>
  <c r="D20" s="1"/>
  <c r="F8" i="1"/>
  <c r="E8"/>
  <c r="D8"/>
  <c r="F7" i="8" l="1"/>
  <c r="F18" s="1"/>
  <c r="F20" s="1"/>
  <c r="E12" i="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G7" i="8" l="1"/>
  <c r="G18" s="1"/>
  <c r="G20" s="1"/>
  <c r="H8"/>
  <c r="F10" i="7"/>
  <c r="E5"/>
  <c r="D10" s="1"/>
  <c r="H3"/>
  <c r="G23" i="6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E1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H7" i="8" l="1"/>
  <c r="H18" s="1"/>
  <c r="H20" s="1"/>
  <c r="H10" i="7"/>
  <c r="C11" s="1"/>
  <c r="G20"/>
  <c r="G18"/>
  <c r="G16"/>
  <c r="G14"/>
  <c r="G12"/>
  <c r="G19"/>
  <c r="G17"/>
  <c r="G15"/>
  <c r="G13"/>
  <c r="G11"/>
  <c r="D12" i="3"/>
  <c r="D10" i="8" s="1"/>
  <c r="H11" i="7" l="1"/>
  <c r="C12" s="1"/>
  <c r="E11"/>
  <c r="H12" l="1"/>
  <c r="C13" s="1"/>
  <c r="E12"/>
  <c r="H13" l="1"/>
  <c r="C14" s="1"/>
  <c r="E13"/>
  <c r="H14" l="1"/>
  <c r="C15" s="1"/>
  <c r="E14"/>
  <c r="F10" i="4"/>
  <c r="H15" i="7" l="1"/>
  <c r="C16" s="1"/>
  <c r="E15"/>
  <c r="D10" i="4"/>
  <c r="C6" i="1"/>
  <c r="C15" s="1"/>
  <c r="C16" s="1"/>
  <c r="C17" s="1"/>
  <c r="AT10" l="1"/>
  <c r="H16" i="7"/>
  <c r="C17" s="1"/>
  <c r="E16"/>
  <c r="G15" i="4"/>
  <c r="G16"/>
  <c r="G17"/>
  <c r="G18"/>
  <c r="G19"/>
  <c r="G12"/>
  <c r="G20"/>
  <c r="G14"/>
  <c r="G13"/>
  <c r="G11"/>
  <c r="H10"/>
  <c r="D6" i="6"/>
  <c r="AU10" i="1" l="1"/>
  <c r="D13" i="6"/>
  <c r="E6"/>
  <c r="H17" i="7"/>
  <c r="C18" s="1"/>
  <c r="E17"/>
  <c r="C11" i="4"/>
  <c r="AV10" i="1" l="1"/>
  <c r="E13" i="6"/>
  <c r="F6"/>
  <c r="H18" i="7"/>
  <c r="C19" s="1"/>
  <c r="E18"/>
  <c r="H11" i="4"/>
  <c r="E11"/>
  <c r="D11" i="1" l="1"/>
  <c r="D11" i="8"/>
  <c r="AW10" i="1"/>
  <c r="F13" i="6"/>
  <c r="G6"/>
  <c r="H19" i="7"/>
  <c r="C20" s="1"/>
  <c r="E19"/>
  <c r="C12" i="4"/>
  <c r="E12" s="1"/>
  <c r="D13" i="8" l="1"/>
  <c r="D14" s="1"/>
  <c r="D15" s="1"/>
  <c r="D19"/>
  <c r="D21" s="1"/>
  <c r="E11" i="1"/>
  <c r="E11" i="8"/>
  <c r="AX10" i="1"/>
  <c r="H6" i="6"/>
  <c r="G13"/>
  <c r="H20" i="7"/>
  <c r="E20"/>
  <c r="H12" i="4"/>
  <c r="C13" s="1"/>
  <c r="E13" s="1"/>
  <c r="D16" i="8" l="1"/>
  <c r="F11" i="1"/>
  <c r="F11" i="8"/>
  <c r="AY10" i="1"/>
  <c r="I6" i="6"/>
  <c r="H13"/>
  <c r="H13" i="4"/>
  <c r="C14" s="1"/>
  <c r="E14" s="1"/>
  <c r="D17" i="8" l="1"/>
  <c r="G11" i="1"/>
  <c r="G11" i="8"/>
  <c r="AZ10" i="1"/>
  <c r="J6" i="6"/>
  <c r="I13"/>
  <c r="H14" i="4"/>
  <c r="C15" s="1"/>
  <c r="E15" s="1"/>
  <c r="H11" i="1" l="1"/>
  <c r="BA10"/>
  <c r="J13" i="6"/>
  <c r="K6"/>
  <c r="H15" i="4"/>
  <c r="C16" s="1"/>
  <c r="E16" s="1"/>
  <c r="I11" i="1" l="1"/>
  <c r="K13" i="6"/>
  <c r="L6"/>
  <c r="H16" i="4"/>
  <c r="C17" s="1"/>
  <c r="E17" s="1"/>
  <c r="J11" i="1" l="1"/>
  <c r="L13" i="6"/>
  <c r="M6"/>
  <c r="H17" i="4"/>
  <c r="C18" s="1"/>
  <c r="E18" s="1"/>
  <c r="K11" i="1" l="1"/>
  <c r="N6" i="6"/>
  <c r="M13"/>
  <c r="H18" i="4"/>
  <c r="C19" s="1"/>
  <c r="E19" s="1"/>
  <c r="L11" i="1" l="1"/>
  <c r="O6" i="6"/>
  <c r="N13"/>
  <c r="H19" i="4"/>
  <c r="C20" s="1"/>
  <c r="E20" s="1"/>
  <c r="M11" i="1" l="1"/>
  <c r="O13" i="6"/>
  <c r="P6"/>
  <c r="H20" i="4"/>
  <c r="G8" i="1"/>
  <c r="H8" s="1"/>
  <c r="I8" s="1"/>
  <c r="E7"/>
  <c r="D7"/>
  <c r="Q6" i="6" l="1"/>
  <c r="P13"/>
  <c r="F7" i="1"/>
  <c r="G7"/>
  <c r="Q13" i="6" l="1"/>
  <c r="R6"/>
  <c r="E12" i="3"/>
  <c r="D10" i="1"/>
  <c r="D13" s="1"/>
  <c r="H7"/>
  <c r="E10" l="1"/>
  <c r="E13" s="1"/>
  <c r="E14" s="1"/>
  <c r="E15" s="1"/>
  <c r="E16" s="1"/>
  <c r="E10" i="8"/>
  <c r="S6" i="6"/>
  <c r="R13"/>
  <c r="F12" i="3"/>
  <c r="J8" i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I7"/>
  <c r="E13" i="8" l="1"/>
  <c r="E14" s="1"/>
  <c r="E15" s="1"/>
  <c r="E19"/>
  <c r="E21" s="1"/>
  <c r="F10" i="1"/>
  <c r="F13" s="1"/>
  <c r="F14" s="1"/>
  <c r="F15" s="1"/>
  <c r="F16" s="1"/>
  <c r="F10" i="8"/>
  <c r="S13" i="6"/>
  <c r="T6"/>
  <c r="G12" i="3"/>
  <c r="J7" i="1"/>
  <c r="D14"/>
  <c r="D15" s="1"/>
  <c r="E16" i="8" l="1"/>
  <c r="E17" s="1"/>
  <c r="F13"/>
  <c r="F14" s="1"/>
  <c r="F15" s="1"/>
  <c r="F19"/>
  <c r="F21" s="1"/>
  <c r="G10" i="1"/>
  <c r="G13" s="1"/>
  <c r="G14" s="1"/>
  <c r="G15" s="1"/>
  <c r="G16" s="1"/>
  <c r="G10" i="8"/>
  <c r="T13" i="6"/>
  <c r="U6"/>
  <c r="D16" i="1"/>
  <c r="H12" i="3"/>
  <c r="K7" i="1"/>
  <c r="F16" i="8" l="1"/>
  <c r="F17" s="1"/>
  <c r="G13"/>
  <c r="G14" s="1"/>
  <c r="G15" s="1"/>
  <c r="G19"/>
  <c r="G21" s="1"/>
  <c r="H10" i="1"/>
  <c r="H13" s="1"/>
  <c r="H14" s="1"/>
  <c r="H15" s="1"/>
  <c r="H16" s="1"/>
  <c r="H10" i="8"/>
  <c r="U13" i="6"/>
  <c r="V6"/>
  <c r="D17" i="1"/>
  <c r="E17" s="1"/>
  <c r="F17" s="1"/>
  <c r="G17" s="1"/>
  <c r="L7"/>
  <c r="H13" i="8" l="1"/>
  <c r="H14" s="1"/>
  <c r="H15" s="1"/>
  <c r="H16" s="1"/>
  <c r="H19"/>
  <c r="H21" s="1"/>
  <c r="C22" s="1"/>
  <c r="H17" i="1"/>
  <c r="G16" i="8"/>
  <c r="I10" i="1"/>
  <c r="I13" s="1"/>
  <c r="I14" s="1"/>
  <c r="I15" s="1"/>
  <c r="I16" s="1"/>
  <c r="V13" i="6"/>
  <c r="W6"/>
  <c r="M7" i="1"/>
  <c r="C23" i="8" l="1"/>
  <c r="C24"/>
  <c r="I17" i="1"/>
  <c r="J10"/>
  <c r="J13" s="1"/>
  <c r="J14" s="1"/>
  <c r="J15" s="1"/>
  <c r="J16" s="1"/>
  <c r="G17" i="8"/>
  <c r="H17" s="1"/>
  <c r="X6" i="6"/>
  <c r="W13"/>
  <c r="N7" i="1"/>
  <c r="J17" l="1"/>
  <c r="K10"/>
  <c r="K13" s="1"/>
  <c r="K14" s="1"/>
  <c r="K15" s="1"/>
  <c r="Y6" i="6"/>
  <c r="X13"/>
  <c r="O7" i="1"/>
  <c r="L10" l="1"/>
  <c r="L13" s="1"/>
  <c r="L14" s="1"/>
  <c r="L15" s="1"/>
  <c r="L16" s="1"/>
  <c r="Z6" i="6"/>
  <c r="Y13"/>
  <c r="K16" i="1"/>
  <c r="P7"/>
  <c r="M10" l="1"/>
  <c r="M13" s="1"/>
  <c r="M14" s="1"/>
  <c r="M15" s="1"/>
  <c r="Z13" i="6"/>
  <c r="AA6"/>
  <c r="K17" i="1"/>
  <c r="L17" s="1"/>
  <c r="Q7"/>
  <c r="N10" l="1"/>
  <c r="N13" s="1"/>
  <c r="N14" s="1"/>
  <c r="N15" s="1"/>
  <c r="N16" s="1"/>
  <c r="AB6" i="6"/>
  <c r="AA13"/>
  <c r="M16" i="1"/>
  <c r="R7"/>
  <c r="O10" l="1"/>
  <c r="O13" s="1"/>
  <c r="O14" s="1"/>
  <c r="O15" s="1"/>
  <c r="AB13" i="6"/>
  <c r="AC6"/>
  <c r="M17" i="1"/>
  <c r="N17" s="1"/>
  <c r="S7"/>
  <c r="P10" l="1"/>
  <c r="P13" s="1"/>
  <c r="P14" s="1"/>
  <c r="P15" s="1"/>
  <c r="P16" s="1"/>
  <c r="AC13" i="6"/>
  <c r="AD6"/>
  <c r="O16" i="1"/>
  <c r="T7"/>
  <c r="Q10" l="1"/>
  <c r="Q13" s="1"/>
  <c r="Q14" s="1"/>
  <c r="Q15" s="1"/>
  <c r="AD13" i="6"/>
  <c r="AE6"/>
  <c r="O17" i="1"/>
  <c r="P17" s="1"/>
  <c r="U7"/>
  <c r="R10" l="1"/>
  <c r="R13" s="1"/>
  <c r="R14" s="1"/>
  <c r="R15" s="1"/>
  <c r="R16" s="1"/>
  <c r="AF6" i="6"/>
  <c r="AE13"/>
  <c r="Q16" i="1"/>
  <c r="V7"/>
  <c r="S10" l="1"/>
  <c r="S13" s="1"/>
  <c r="S14" s="1"/>
  <c r="S15" s="1"/>
  <c r="AG6" i="6"/>
  <c r="AF13"/>
  <c r="Q17" i="1"/>
  <c r="R17" s="1"/>
  <c r="W7"/>
  <c r="T10" l="1"/>
  <c r="T13" s="1"/>
  <c r="T14" s="1"/>
  <c r="T15" s="1"/>
  <c r="T16" s="1"/>
  <c r="AH6" i="6"/>
  <c r="AG13"/>
  <c r="S16" i="1"/>
  <c r="X7"/>
  <c r="U10" l="1"/>
  <c r="U13" s="1"/>
  <c r="U14" s="1"/>
  <c r="U15" s="1"/>
  <c r="AH13" i="6"/>
  <c r="AI6"/>
  <c r="S17" i="1"/>
  <c r="T17" s="1"/>
  <c r="Y7"/>
  <c r="V10" l="1"/>
  <c r="V13" s="1"/>
  <c r="V14" s="1"/>
  <c r="AJ6" i="6"/>
  <c r="AI13"/>
  <c r="U16" i="1"/>
  <c r="Z7"/>
  <c r="V15" l="1"/>
  <c r="V16" s="1"/>
  <c r="W10"/>
  <c r="W13" s="1"/>
  <c r="W14" s="1"/>
  <c r="W15" s="1"/>
  <c r="AK6" i="6"/>
  <c r="AJ13"/>
  <c r="U17" i="1"/>
  <c r="AA7"/>
  <c r="V17" l="1"/>
  <c r="X10"/>
  <c r="X13" s="1"/>
  <c r="X14" s="1"/>
  <c r="X15" s="1"/>
  <c r="X16" s="1"/>
  <c r="AK13" i="6"/>
  <c r="AL6"/>
  <c r="W16" i="1"/>
  <c r="AB7"/>
  <c r="W17" l="1"/>
  <c r="X17" s="1"/>
  <c r="Y10"/>
  <c r="Y13" s="1"/>
  <c r="Y14" s="1"/>
  <c r="Y15" s="1"/>
  <c r="Y16" s="1"/>
  <c r="AL13" i="6"/>
  <c r="AM6"/>
  <c r="AC7" i="1"/>
  <c r="Z10" l="1"/>
  <c r="Z13" s="1"/>
  <c r="Z14" s="1"/>
  <c r="Z15" s="1"/>
  <c r="Z16" s="1"/>
  <c r="AN6" i="6"/>
  <c r="AM13"/>
  <c r="Y17" i="1"/>
  <c r="AD7"/>
  <c r="AA10" l="1"/>
  <c r="AA13" s="1"/>
  <c r="AA14" s="1"/>
  <c r="AA15" s="1"/>
  <c r="AA16" s="1"/>
  <c r="Z17"/>
  <c r="AO6" i="6"/>
  <c r="AN13"/>
  <c r="AE7" i="1"/>
  <c r="AA17" l="1"/>
  <c r="AB10"/>
  <c r="AB13" s="1"/>
  <c r="AB14" s="1"/>
  <c r="AB15" s="1"/>
  <c r="AB16" s="1"/>
  <c r="AO13" i="6"/>
  <c r="AP6"/>
  <c r="AF7" i="1"/>
  <c r="AB17" l="1"/>
  <c r="AC10"/>
  <c r="AC13" s="1"/>
  <c r="AC14" s="1"/>
  <c r="AC15" s="1"/>
  <c r="AC16" s="1"/>
  <c r="AP13" i="6"/>
  <c r="AQ6"/>
  <c r="AG7" i="1"/>
  <c r="AC17" l="1"/>
  <c r="AD10"/>
  <c r="AD13" s="1"/>
  <c r="AD14" s="1"/>
  <c r="AD15" s="1"/>
  <c r="AD16" s="1"/>
  <c r="AQ13" i="6"/>
  <c r="AR6"/>
  <c r="AH7" i="1"/>
  <c r="AD17" l="1"/>
  <c r="AE10"/>
  <c r="AE13" s="1"/>
  <c r="AE14" s="1"/>
  <c r="AS6" i="6"/>
  <c r="AR13"/>
  <c r="AI7" i="1"/>
  <c r="AE15" l="1"/>
  <c r="AE16" s="1"/>
  <c r="AE17" s="1"/>
  <c r="AF10"/>
  <c r="AF13" s="1"/>
  <c r="AF14" s="1"/>
  <c r="AF15" s="1"/>
  <c r="AF16" s="1"/>
  <c r="AT6" i="6"/>
  <c r="AS13"/>
  <c r="AJ7" i="1"/>
  <c r="AF17" l="1"/>
  <c r="AG10"/>
  <c r="AG13" s="1"/>
  <c r="AG14" s="1"/>
  <c r="AG15" s="1"/>
  <c r="AG16" s="1"/>
  <c r="AT13" i="6"/>
  <c r="AU6"/>
  <c r="AK7" i="1"/>
  <c r="AG17" l="1"/>
  <c r="AH10"/>
  <c r="AH13" s="1"/>
  <c r="AH14" s="1"/>
  <c r="AH15" s="1"/>
  <c r="AH16" s="1"/>
  <c r="AV6" i="6"/>
  <c r="AU13"/>
  <c r="AL7" i="1"/>
  <c r="AH17" l="1"/>
  <c r="AI10"/>
  <c r="AI13" s="1"/>
  <c r="AI14" s="1"/>
  <c r="AI15" s="1"/>
  <c r="AI16" s="1"/>
  <c r="AW6" i="6"/>
  <c r="AV13"/>
  <c r="AM7" i="1"/>
  <c r="AI17" l="1"/>
  <c r="AJ10"/>
  <c r="AJ13" s="1"/>
  <c r="AJ14" s="1"/>
  <c r="AJ15" s="1"/>
  <c r="AJ16" s="1"/>
  <c r="AW13" i="6"/>
  <c r="AX6"/>
  <c r="AN7" i="1"/>
  <c r="AJ17" l="1"/>
  <c r="AK10"/>
  <c r="AK13" s="1"/>
  <c r="AK14" s="1"/>
  <c r="AK15" s="1"/>
  <c r="AK16" s="1"/>
  <c r="AX13" i="6"/>
  <c r="AY6"/>
  <c r="AO7" i="1"/>
  <c r="AK17" l="1"/>
  <c r="AL10"/>
  <c r="AL13" s="1"/>
  <c r="AL14" s="1"/>
  <c r="AL15" s="1"/>
  <c r="AL16" s="1"/>
  <c r="AY13" i="6"/>
  <c r="AZ6"/>
  <c r="AP7" i="1"/>
  <c r="AL17" l="1"/>
  <c r="AM10"/>
  <c r="AM13" s="1"/>
  <c r="AM14" s="1"/>
  <c r="AM15" s="1"/>
  <c r="AM16" s="1"/>
  <c r="AZ13" i="6"/>
  <c r="BA6"/>
  <c r="AQ7" i="1"/>
  <c r="AM17" l="1"/>
  <c r="AN10"/>
  <c r="AN13" s="1"/>
  <c r="AN14" s="1"/>
  <c r="AN15" s="1"/>
  <c r="AN16" s="1"/>
  <c r="BA13" i="6"/>
  <c r="BB6"/>
  <c r="BB13" s="1"/>
  <c r="AR7" i="1"/>
  <c r="AN17" l="1"/>
  <c r="AO10"/>
  <c r="AO13" s="1"/>
  <c r="AO14" s="1"/>
  <c r="AO15" s="1"/>
  <c r="AO16" s="1"/>
  <c r="AS7"/>
  <c r="AO17" l="1"/>
  <c r="AP10"/>
  <c r="AP13" s="1"/>
  <c r="AP14" s="1"/>
  <c r="AP15" s="1"/>
  <c r="AP16" s="1"/>
  <c r="AT7"/>
  <c r="AT13" s="1"/>
  <c r="AT14" s="1"/>
  <c r="AT15" s="1"/>
  <c r="AT16" s="1"/>
  <c r="AP17" l="1"/>
  <c r="AQ10"/>
  <c r="AQ13" s="1"/>
  <c r="AQ14" s="1"/>
  <c r="AQ15" s="1"/>
  <c r="AQ16" s="1"/>
  <c r="AU7"/>
  <c r="AU13" s="1"/>
  <c r="AU14" s="1"/>
  <c r="AU15" s="1"/>
  <c r="AU16" s="1"/>
  <c r="AQ17" l="1"/>
  <c r="AS10"/>
  <c r="AS13" s="1"/>
  <c r="AS14" s="1"/>
  <c r="AS15" s="1"/>
  <c r="AR10"/>
  <c r="AR13" s="1"/>
  <c r="AR14" s="1"/>
  <c r="AR15" s="1"/>
  <c r="AR16" s="1"/>
  <c r="AV7"/>
  <c r="AV13" s="1"/>
  <c r="AV14" s="1"/>
  <c r="AV15" s="1"/>
  <c r="AV16" s="1"/>
  <c r="AR17" l="1"/>
  <c r="AW7"/>
  <c r="AW13" s="1"/>
  <c r="AW14" s="1"/>
  <c r="AW15" s="1"/>
  <c r="AW16" s="1"/>
  <c r="AS16"/>
  <c r="AX7" l="1"/>
  <c r="AX13" s="1"/>
  <c r="AX14" s="1"/>
  <c r="AX15" s="1"/>
  <c r="AX16" s="1"/>
  <c r="AS17"/>
  <c r="AT17" s="1"/>
  <c r="AU17" s="1"/>
  <c r="AV17" s="1"/>
  <c r="AW17" s="1"/>
  <c r="AX17" l="1"/>
  <c r="AY7"/>
  <c r="AY13" s="1"/>
  <c r="AY14" s="1"/>
  <c r="AY15" s="1"/>
  <c r="AY16" s="1"/>
  <c r="AY17" l="1"/>
  <c r="AZ7"/>
  <c r="AZ13" s="1"/>
  <c r="AZ14" s="1"/>
  <c r="AZ15" s="1"/>
  <c r="AZ16" s="1"/>
  <c r="AZ17" l="1"/>
  <c r="BA7"/>
  <c r="BA13" s="1"/>
  <c r="BA14" s="1"/>
  <c r="BA15" s="1"/>
  <c r="BA16" l="1"/>
  <c r="C18" s="1"/>
  <c r="C19"/>
  <c r="BA17" l="1"/>
</calcChain>
</file>

<file path=xl/sharedStrings.xml><?xml version="1.0" encoding="utf-8"?>
<sst xmlns="http://schemas.openxmlformats.org/spreadsheetml/2006/main" count="463" uniqueCount="275">
  <si>
    <t>STT</t>
  </si>
  <si>
    <t>Nội dung</t>
  </si>
  <si>
    <t>Năm 2022</t>
  </si>
  <si>
    <t>Doanh thu:</t>
  </si>
  <si>
    <t>a</t>
  </si>
  <si>
    <t>Điện nước</t>
  </si>
  <si>
    <t>Lợi nhuận trước thuế (dự kiến)</t>
  </si>
  <si>
    <t>Nộp thuế TNDN (thuế suất 20%)</t>
  </si>
  <si>
    <t>Lợi nhuận sau thuế</t>
  </si>
  <si>
    <t>Năm 2026</t>
  </si>
  <si>
    <t>Năm 2027</t>
  </si>
  <si>
    <t>Năm 2029</t>
  </si>
  <si>
    <t>Năm 2030</t>
  </si>
  <si>
    <t>Năm 2028</t>
  </si>
  <si>
    <t>Năm 2024</t>
  </si>
  <si>
    <t>Năm 2025</t>
  </si>
  <si>
    <t>NPV</t>
  </si>
  <si>
    <t>IRR</t>
  </si>
  <si>
    <t>Tổng</t>
  </si>
  <si>
    <t>Đơn vị tính: triệu đồng</t>
  </si>
  <si>
    <t>Năm 2023</t>
  </si>
  <si>
    <t>Năm 2031</t>
  </si>
  <si>
    <t>Chi phí nhập xe (nguyên chiếc)</t>
  </si>
  <si>
    <t>Tiền thuê đất hàng năm</t>
  </si>
  <si>
    <t>Năm 2032</t>
  </si>
  <si>
    <t>Năm 2033</t>
  </si>
  <si>
    <t>Năm 2034</t>
  </si>
  <si>
    <t>Năm 2035</t>
  </si>
  <si>
    <t>Năm 2036</t>
  </si>
  <si>
    <t>Năm 2037</t>
  </si>
  <si>
    <t>Năm 2038</t>
  </si>
  <si>
    <t>Năm 2039</t>
  </si>
  <si>
    <t>Năm 2040</t>
  </si>
  <si>
    <t>Năm 2041</t>
  </si>
  <si>
    <t>Năm 2042</t>
  </si>
  <si>
    <t>Năm 2043</t>
  </si>
  <si>
    <t>Năm 2044</t>
  </si>
  <si>
    <t>Năm 2045</t>
  </si>
  <si>
    <t>Năm 2046</t>
  </si>
  <si>
    <t>Năm 2047</t>
  </si>
  <si>
    <t>Năm 2048</t>
  </si>
  <si>
    <t>Năm 2049</t>
  </si>
  <si>
    <t>Năm 2050</t>
  </si>
  <si>
    <t>Năm 2051</t>
  </si>
  <si>
    <t>Năm 2052</t>
  </si>
  <si>
    <t>Năm 2053</t>
  </si>
  <si>
    <t>Năm 2054</t>
  </si>
  <si>
    <t>Năm 2055</t>
  </si>
  <si>
    <t>Năm 2056</t>
  </si>
  <si>
    <t>Năm 2057</t>
  </si>
  <si>
    <t>Năm 2058</t>
  </si>
  <si>
    <t>Năm 2059</t>
  </si>
  <si>
    <t>Năm 2060</t>
  </si>
  <si>
    <t>Năm 2061</t>
  </si>
  <si>
    <t>Năm 2062</t>
  </si>
  <si>
    <t>Năm 2063</t>
  </si>
  <si>
    <t>Năm 2064</t>
  </si>
  <si>
    <t>BẢNG TÍNH CHI PHÍ THỰC HIỆN DỰ ÁN</t>
  </si>
  <si>
    <t>Chi phí</t>
  </si>
  <si>
    <t>Ghi chú</t>
  </si>
  <si>
    <t>Chi phí Lãi vay</t>
  </si>
  <si>
    <t>Vốn đầu tư</t>
  </si>
  <si>
    <t>Tỷ lệ vay</t>
  </si>
  <si>
    <t>Lãi suất vay (r - %)</t>
  </si>
  <si>
    <t>Lãi trả đều (năm)</t>
  </si>
  <si>
    <t>Dư nợ đầu kỳ</t>
  </si>
  <si>
    <t>Giải ngân</t>
  </si>
  <si>
    <t>Trả lãi vay</t>
  </si>
  <si>
    <t>Lãi vay XD nhập gốc</t>
  </si>
  <si>
    <t>Trả nợ gốc</t>
  </si>
  <si>
    <t>Dư nợ cuối kỳ</t>
  </si>
  <si>
    <t>Tổng vốn đầu tư (triệu đồng</t>
  </si>
  <si>
    <t>Vốn vay(Triệu đồng)</t>
  </si>
  <si>
    <t>BẢNG TÍNH LÃI VAY</t>
  </si>
  <si>
    <t>Năm</t>
  </si>
  <si>
    <t>BẢNG TÍNH HIỆU QUẢ KINH TẾ CỦA DỰ ÁN</t>
  </si>
  <si>
    <t>Duy tu, bảo dưỡng tòa nhà (cả sửa chữa thường xuyên hàng năm tạm tính 1% giá trị xây dựng và sửa chữa lớn 5% giá trị xây dựng, 05 năm/lần)</t>
  </si>
  <si>
    <t>Thời gian thu hồi vốn</t>
  </si>
  <si>
    <t>Lũy kế NPVi</t>
  </si>
  <si>
    <t>NPVi</t>
  </si>
  <si>
    <t>Chi phí nhập phụ tùng để bảo dưỡng, sửa chữa (chi phí thay thế tạm tính trung bình 1,9 triệu/lượt)</t>
  </si>
  <si>
    <t>Các chi phí hoạt động như Marketing, quảng cáo, giới thiệu sản phẩm, ...</t>
  </si>
  <si>
    <t>9 năm</t>
  </si>
  <si>
    <t>Lương + bảo hiểm (dự kiến 10 lao động * 10 triệu/ tháng)</t>
  </si>
  <si>
    <t>Năm 2065</t>
  </si>
  <si>
    <t>Năm 2066</t>
  </si>
  <si>
    <t>Năm 2067</t>
  </si>
  <si>
    <t>Năm 2068</t>
  </si>
  <si>
    <t>Năm 2069</t>
  </si>
  <si>
    <t>Năm 2070</t>
  </si>
  <si>
    <t>Năm 2071</t>
  </si>
  <si>
    <t>Năm 2072</t>
  </si>
  <si>
    <t>Năm 2073</t>
  </si>
  <si>
    <t>DT</t>
  </si>
  <si>
    <t>Khấu hao tài sản cố định (50 năm)</t>
  </si>
  <si>
    <t>đơn giá đất</t>
  </si>
  <si>
    <t>dt</t>
  </si>
  <si>
    <t>Doanh thu (theo bảng tính chi tiết) giá cho thuê dự kiến 3 năm tăng 1 lần 5%, 2 năm đầu tỷ lệ cho thuê lấp đầy là 60%, từ năm thứ 3 tỷ lệ cho thuê lấp đầy là 95%)</t>
  </si>
  <si>
    <t>b</t>
  </si>
  <si>
    <t>Doanh thu từ chuyển quyền sử dụng đất ở liền nhà của dự án</t>
  </si>
  <si>
    <t>I</t>
  </si>
  <si>
    <t>PHẦN NHÀ Ở</t>
  </si>
  <si>
    <t>II</t>
  </si>
  <si>
    <t>Khấu hao tài sản cố định - Chợ TMDV (20 năm)</t>
  </si>
  <si>
    <t>Tổng vốn đầu tư (triệu đồng)</t>
  </si>
  <si>
    <t>PHẦN ĐẤU GIÁ</t>
  </si>
  <si>
    <t>Giá trị quyền sử dụng đất</t>
  </si>
  <si>
    <t>Tên lô/Làn</t>
  </si>
  <si>
    <t>Diện tích</t>
  </si>
  <si>
    <t>Mặt tiền</t>
  </si>
  <si>
    <t>Hệ số lô</t>
  </si>
  <si>
    <t>Đơn giá</t>
  </si>
  <si>
    <t>Thành tiền</t>
  </si>
  <si>
    <t>Đơn giá xây thô</t>
  </si>
  <si>
    <t>Giá trị xây thô</t>
  </si>
  <si>
    <t>TỔNG CỘNG</t>
  </si>
  <si>
    <t>CP</t>
  </si>
  <si>
    <t>QC</t>
  </si>
  <si>
    <t>% QC</t>
  </si>
  <si>
    <t>Giá trị quyền sử dụng đất xác định sơ bộ:</t>
  </si>
  <si>
    <t>Quản lý, bán hàng (0,2%) DT</t>
  </si>
  <si>
    <t xml:space="preserve"> </t>
  </si>
  <si>
    <t>mặt nhìn khuôn viên công cộng</t>
  </si>
  <si>
    <t>XÁC ĐỊNH SƠ BỘ GIÁ TRỊ KHU ĐẤT:</t>
  </si>
  <si>
    <t>1. Doanh thu phát triển của dự án:</t>
  </si>
  <si>
    <t xml:space="preserve">- Doanh thu phát triển đất ở (theo bảng nêu trên): </t>
  </si>
  <si>
    <t>đ</t>
  </si>
  <si>
    <t>- Doanh thu phát triển nhà xây thô, dự kiến đơn giá 4.500.000 đ/m2</t>
  </si>
  <si>
    <t>Tổng DT:</t>
  </si>
  <si>
    <t>2. Chi phí đầu tư:</t>
  </si>
  <si>
    <t>- Chi phí đầu tư HTKT khu nhà ở (theo bảng tính sơ bộ TMĐT)</t>
  </si>
  <si>
    <t xml:space="preserve">- Chi phí đầu tư Xây thô khu nhà ở (theo bảng tính sơ bộ TMĐT) </t>
  </si>
  <si>
    <t>- Chi phí quảng cáo, bán hàng 0,2% DT</t>
  </si>
  <si>
    <t>- 12% giá trị khu đất</t>
  </si>
  <si>
    <t>Tổng CP (chưa trừ 12% giá trị khu đất):</t>
  </si>
  <si>
    <t>3. Xác định sơ bộ giá trị khu đất:</t>
  </si>
  <si>
    <t>Giá trị khu đất = Tổng Doanh thu phát triển của dự án - Tổng chi phí phát triển của dự án</t>
  </si>
  <si>
    <t>=</t>
  </si>
  <si>
    <t>Giá trị khu đất sơ bộ =</t>
  </si>
  <si>
    <t>Đơn vị tính: Triệu đồng.</t>
  </si>
  <si>
    <t>Đơn vị</t>
  </si>
  <si>
    <t>m2</t>
  </si>
  <si>
    <t>2.1</t>
  </si>
  <si>
    <t>3.1</t>
  </si>
  <si>
    <t>4.1</t>
  </si>
  <si>
    <t>%</t>
  </si>
  <si>
    <t>III</t>
  </si>
  <si>
    <t>Tổng mức đầu tư</t>
  </si>
  <si>
    <t>BẢNG KHÁI TOÁN CHI PHÍ ĐẦU TƯ XÂY DỰNG</t>
  </si>
  <si>
    <t>(Căn cứ theo Thông tư 12/2021/TT-BXD ngày 31 tháng 8 năm 2021)</t>
  </si>
  <si>
    <t>Đơn vị tính: đồng</t>
  </si>
  <si>
    <t>NỘI DUNG CHI PHÍ</t>
  </si>
  <si>
    <t>Mã chi phí</t>
  </si>
  <si>
    <t>Bảng chi phí</t>
  </si>
  <si>
    <t>Tỷ lệ %</t>
  </si>
  <si>
    <t>Hệ số</t>
  </si>
  <si>
    <t>CÁCH TÍNH</t>
  </si>
  <si>
    <t>GIÁ TRỊ TRƯỚC THUẾ</t>
  </si>
  <si>
    <t>THUẾ GTGT</t>
  </si>
  <si>
    <t>GIÁ TRỊ SAU THUẾ</t>
  </si>
  <si>
    <t>KÝ HIỆU</t>
  </si>
  <si>
    <t>1</t>
  </si>
  <si>
    <t>Chi phí đầu tư theo suất vốn đầu tư xây dựng</t>
  </si>
  <si>
    <t>1.1+1.2+1.3</t>
  </si>
  <si>
    <t>Gxd</t>
  </si>
  <si>
    <t>1.1</t>
  </si>
  <si>
    <t>Theo QĐ số 65/QĐ-BXD ngày 20/01/2021 của BXD suất vồn đầu tư, VB số 1717/BXD-KTXD ngày 17/5/2021 đính chính Văn bản số 65/QĐ-BXD</t>
  </si>
  <si>
    <t>1.2</t>
  </si>
  <si>
    <t>Chi phí đầu tư theo suất vốn đầu tư xây dựng công trình nhà ở (xây thô và hoàn thiện mặt ngoài)</t>
  </si>
  <si>
    <t>Chi phí dự phòng</t>
  </si>
  <si>
    <t>Gdp</t>
  </si>
  <si>
    <t>Dự phòng phí</t>
  </si>
  <si>
    <t>KLPS</t>
  </si>
  <si>
    <t>Gxd sau thuế x tỷ lệ</t>
  </si>
  <si>
    <t>7.2</t>
  </si>
  <si>
    <t>Chi phí dự phòng cho yếu tố trượt giá</t>
  </si>
  <si>
    <t>YTTG</t>
  </si>
  <si>
    <t>Theo bảng chi phí dự phòng trượt giá</t>
  </si>
  <si>
    <t>Tổng cộng</t>
  </si>
  <si>
    <t>Gxdda</t>
  </si>
  <si>
    <t>Làm tròn</t>
  </si>
  <si>
    <t>``</t>
  </si>
  <si>
    <t>SƠ BỘ PHƯƠNG ÁN KINH DOANH</t>
  </si>
  <si>
    <t>Tỷ đ.</t>
  </si>
  <si>
    <t>Xây dựng Hạ tầng kỹ thuật</t>
  </si>
  <si>
    <t>Tỷ lệ % hàng năm</t>
  </si>
  <si>
    <t>Vốn đầu tư (tính dự phòng 10%)</t>
  </si>
  <si>
    <t>Xây dựng nhà ở</t>
  </si>
  <si>
    <t>Phân bổ vốn đầu tư</t>
  </si>
  <si>
    <t>Tổng mức đầu tư:</t>
  </si>
  <si>
    <t>Vốn chủ sở hữu (20%)</t>
  </si>
  <si>
    <t>Vốn vay và huy động (80%)</t>
  </si>
  <si>
    <t>Dự kiến doanh thu</t>
  </si>
  <si>
    <t>Diện tích đất</t>
  </si>
  <si>
    <t>Đất ở liền nhà của dự án</t>
  </si>
  <si>
    <t>Diện tích sàn</t>
  </si>
  <si>
    <t>Nhà liền kề:</t>
  </si>
  <si>
    <t>Dự kiến giá bán</t>
  </si>
  <si>
    <t>Chuyển quyền sử dụng đất</t>
  </si>
  <si>
    <t>Tr.đ./m2</t>
  </si>
  <si>
    <t>3.2</t>
  </si>
  <si>
    <t>Tỷ lệ khai thác hàng năm</t>
  </si>
  <si>
    <t>Công trình của dự án</t>
  </si>
  <si>
    <t>Giao đất công trình khác</t>
  </si>
  <si>
    <t>Doanh thu</t>
  </si>
  <si>
    <t xml:space="preserve">Chi phí </t>
  </si>
  <si>
    <t>Giá trị quyền sử dụng đất
- Tạm tính = Diện tích khu đất * Bảng giá đất =32.103,26*1.800.000=57.785.868.000 đồng</t>
  </si>
  <si>
    <t>Quản lý, bán hàng (5%) DT</t>
  </si>
  <si>
    <t>Chi phí xây dựng (bao gồm: xây dựng HTKT và nhà ở xây thô)</t>
  </si>
  <si>
    <t>Trả nợ vay hàng năm</t>
  </si>
  <si>
    <t>Trả lãi vay hàng năm (8,5%)</t>
  </si>
  <si>
    <t>Nợ vốn vay đầu năm</t>
  </si>
  <si>
    <t>Nợ vốn vay cuối năm</t>
  </si>
  <si>
    <t>Dự trù lỗ, lãi</t>
  </si>
  <si>
    <t>Doanh thu trừ chi phí</t>
  </si>
  <si>
    <t>Thuế doanh thu (10%)</t>
  </si>
  <si>
    <t>Doanh thu trước thuế</t>
  </si>
  <si>
    <t>Thuế thu nhâp doanh nghiệp (20%)</t>
  </si>
  <si>
    <t>Doanh thu thuần</t>
  </si>
  <si>
    <t>- Lợi nhuận dự kiến của NĐT 5% CPĐT</t>
  </si>
  <si>
    <t>5 năm</t>
  </si>
  <si>
    <t>Nhà liền kề (mật độ xây dựng trung bình)</t>
  </si>
  <si>
    <t>Mật độ xây dựng tối đa</t>
  </si>
  <si>
    <t>Số tầng</t>
  </si>
  <si>
    <t>tầng</t>
  </si>
  <si>
    <t>NVH</t>
  </si>
  <si>
    <t>MN</t>
  </si>
  <si>
    <t>TDTT</t>
  </si>
  <si>
    <t>CX</t>
  </si>
  <si>
    <t>HTKTGT</t>
  </si>
  <si>
    <t>Bi</t>
  </si>
  <si>
    <t>Ci</t>
  </si>
  <si>
    <t>tổng Bi/(1+r)i</t>
  </si>
  <si>
    <t>tổng Ci/(1+r)i</t>
  </si>
  <si>
    <t>B/C</t>
  </si>
  <si>
    <t>BẢNG XÁC ĐỊNH SƠ BỘ GIÁ TRỊ KHU ĐẤT 
DỰ ÁN KHU NHÀ Ở ĐẤU GIÁ QUYỀN SỬ DỤNG ĐẤT TẠO VỐN XÂY DỰNG CƠ SỞ HẠ TẦNG TẠI THÔN NGÔ XÁ, XÃ LONG CHÂU, HUYỆN YÊN PHONG</t>
  </si>
  <si>
    <t>A</t>
  </si>
  <si>
    <t>A1</t>
  </si>
  <si>
    <t>A2</t>
  </si>
  <si>
    <t>A3</t>
  </si>
  <si>
    <r>
      <t xml:space="preserve">A4 </t>
    </r>
    <r>
      <rPr>
        <sz val="12"/>
        <color theme="1"/>
        <rFont val="Calibri"/>
        <family val="2"/>
      </rPr>
      <t xml:space="preserve">÷ </t>
    </r>
    <r>
      <rPr>
        <sz val="12"/>
        <color theme="1"/>
        <rFont val="Times New Roman"/>
        <family val="1"/>
      </rPr>
      <t>A11</t>
    </r>
  </si>
  <si>
    <t>A12</t>
  </si>
  <si>
    <t>A13</t>
  </si>
  <si>
    <t>B</t>
  </si>
  <si>
    <t>B1</t>
  </si>
  <si>
    <t>B9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</si>
  <si>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</si>
  <si>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</si>
  <si>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</si>
  <si>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</si>
  <si>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</si>
  <si>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</si>
  <si>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</si>
  <si>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</si>
  <si>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</si>
  <si>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</si>
  <si>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</si>
  <si>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</si>
  <si>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</si>
  <si>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</si>
  <si>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B2 ÷ B8</t>
  </si>
  <si>
    <t>Xây dựng bãi đỗ xe</t>
  </si>
  <si>
    <t>Đất bãi đỗ xe</t>
  </si>
  <si>
    <t>Nhà nước thanh toán phần xây dựng công trình công cộng</t>
  </si>
  <si>
    <t xml:space="preserve">- Chi phí đầu tư XD bãi đỗ xe (theo bảng tính sơ bộ TMĐT) </t>
  </si>
  <si>
    <t>Chi phí đầu tư theo suất vốn đầu tư xây dựng công trình hạ tầng kỹ thuật (hạ tầng khu đô thị)</t>
  </si>
  <si>
    <t>BẢNG TÍNH CHI PHÍ THỰC HIỆN DỰ ÁN KHU NHÀ Ở ĐẤU GIÁ QUYỀN SỬ DỤNG ĐẤT TẠO VỐN XÂY DỰNG CƠ SỞ HẠ TẦNG TẠI THÔN NGÔ XÁ, XÃ LONG CHÂU, HUYỆN YÊN PHONG</t>
  </si>
  <si>
    <t>BẢNG TÍNH HIỆU QUẢ KINH TẾ CỦA DỰ ÁN KHU NHÀ Ở ĐẤU GIÁ QUYỀN SỬ DỤNG ĐẤT TẠO VỐN XÂY DỰNG CƠ SỞ HẠ TẦNG TẠI THÔN NGÔ XÁ, XÃ LONG CHÂU, HUYỆN YÊN PHONG</t>
  </si>
  <si>
    <t>DỰ ÁN ĐẦU TƯ KHU NHÀ Ở ĐẤU GIÁ QUYỀN SỬ DỤNG ĐẤT TẠO VỐN XÂY DỰNG CƠ SỞ HẠ TẦNG TẠI THÔN NGÔ XÁ, XÃ LONG CHÂU, HUYỆN YÊN PHONG</t>
  </si>
  <si>
    <t>DỰ ÁN KHU NHÀ Ở ĐẤU GIÁ QUYỀN SỬ DỤNG ĐẤT TẠO VỐN XÂY DỰNG CƠ SỞ HẠ TẦNG TẠI THÔN NGÔ XÁ, XÃ LONG CHÂU, HUYỆN YÊN PHONG</t>
  </si>
  <si>
    <t>0,9947ha*8,45 tỷ đồng/ha*0,923*1,1116</t>
  </si>
  <si>
    <t>3060,30m2*(98,86%*5)*7,33 triệu đồng/m2*55% *1,126</t>
  </si>
  <si>
    <t>(Bằng chữ: Tám mươi năm tỷ, không trăm hai mươi mốt triệu, chín trăm linh năm nghìn đồng chẵn./.)</t>
  </si>
  <si>
    <t>Stt</t>
  </si>
  <si>
    <t>Yên Phong, ngày           tháng 5 năm 2022</t>
  </si>
</sst>
</file>

<file path=xl/styles.xml><?xml version="1.0" encoding="utf-8"?>
<styleSheet xmlns="http://schemas.openxmlformats.org/spreadsheetml/2006/main">
  <numFmts count="14">
    <numFmt numFmtId="8" formatCode="&quot;$&quot;#,##0.00_);[Red]\(&quot;$&quot;#,##0.00\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0.0"/>
    <numFmt numFmtId="167" formatCode="_(* #,##0.0000000_);_(* \(#,##0.0000000\);_(* &quot;-&quot;??_);_(@_)"/>
    <numFmt numFmtId="168" formatCode="#,##0.0"/>
    <numFmt numFmtId="169" formatCode="#,##0.000"/>
    <numFmt numFmtId="170" formatCode="#"/>
    <numFmt numFmtId="171" formatCode="#,##0.000%"/>
    <numFmt numFmtId="172" formatCode="_-* #,##0.00_®_-;\-* #,##0.00_®_-;_-* &quot;-&quot;??_®_-;_-@_-"/>
    <numFmt numFmtId="173" formatCode="_-* #,##0_®_-;\-* #,##0_®_-;_-* &quot;-&quot;??_®_-;_-@_-"/>
    <numFmt numFmtId="174" formatCode="#,###"/>
    <numFmt numFmtId="175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sz val="11"/>
      <color theme="1"/>
      <name val="Calibri Light"/>
      <family val="1"/>
      <charset val="163"/>
      <scheme val="major"/>
    </font>
    <font>
      <b/>
      <u/>
      <sz val="12"/>
      <color indexed="8"/>
      <name val="Calibri Light"/>
      <family val="1"/>
      <charset val="163"/>
      <scheme val="major"/>
    </font>
    <font>
      <i/>
      <sz val="12"/>
      <color indexed="8"/>
      <name val="Calibri Light"/>
      <family val="1"/>
      <charset val="163"/>
      <scheme val="major"/>
    </font>
    <font>
      <b/>
      <sz val="8"/>
      <color indexed="8"/>
      <name val="Calibri Light"/>
      <family val="1"/>
      <charset val="163"/>
      <scheme val="major"/>
    </font>
    <font>
      <sz val="8"/>
      <color indexed="8"/>
      <name val="Calibri Light"/>
      <family val="1"/>
      <charset val="163"/>
      <scheme val="major"/>
    </font>
    <font>
      <sz val="12"/>
      <color indexed="10"/>
      <name val="Calibri Light"/>
      <family val="1"/>
      <charset val="163"/>
      <scheme val="major"/>
    </font>
    <font>
      <sz val="8"/>
      <color indexed="10"/>
      <name val="Calibri Light"/>
      <family val="1"/>
      <charset val="163"/>
      <scheme val="major"/>
    </font>
    <font>
      <b/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5"/>
      <color rgb="FF000000"/>
      <name val="Times New Roman"/>
      <family val="2"/>
    </font>
    <font>
      <sz val="11"/>
      <color theme="1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i/>
      <sz val="11"/>
      <color rgb="FF000000"/>
      <name val="Times New Roman"/>
      <family val="2"/>
    </font>
    <font>
      <b/>
      <sz val="12"/>
      <color rgb="FF000000"/>
      <name val="Times New Roman"/>
      <family val="2"/>
    </font>
    <font>
      <sz val="11"/>
      <color indexed="8"/>
      <name val="Times New Roman"/>
      <family val="1"/>
    </font>
    <font>
      <sz val="12"/>
      <name val=".VnTime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rgb="FF000000"/>
      <name val="Times New Roman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22222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b/>
      <sz val="12"/>
      <color rgb="FF202124"/>
      <name val="Arial"/>
      <family val="2"/>
    </font>
    <font>
      <sz val="12"/>
      <color theme="1"/>
      <name val="Calibri"/>
      <family val="2"/>
    </font>
    <font>
      <i/>
      <sz val="13"/>
      <color rgb="FF000000"/>
      <name val="Times New Roman"/>
      <family val="2"/>
    </font>
    <font>
      <i/>
      <sz val="12"/>
      <color theme="1"/>
      <name val="Times New Roman"/>
      <family val="1"/>
    </font>
    <font>
      <b/>
      <i/>
      <sz val="12"/>
      <color rgb="FF000000"/>
      <name val="Times New Roman"/>
      <family val="2"/>
    </font>
    <font>
      <sz val="12"/>
      <color rgb="FF0000CC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F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2" fillId="0" borderId="0"/>
  </cellStyleXfs>
  <cellXfs count="28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1" applyFont="1" applyBorder="1"/>
    <xf numFmtId="0" fontId="4" fillId="0" borderId="0" xfId="0" applyFont="1"/>
    <xf numFmtId="0" fontId="8" fillId="0" borderId="0" xfId="0" applyFont="1" applyFill="1"/>
    <xf numFmtId="0" fontId="8" fillId="0" borderId="0" xfId="0" applyFont="1"/>
    <xf numFmtId="0" fontId="13" fillId="0" borderId="1" xfId="0" applyFont="1" applyBorder="1"/>
    <xf numFmtId="0" fontId="14" fillId="0" borderId="0" xfId="0" applyFont="1"/>
    <xf numFmtId="166" fontId="12" fillId="0" borderId="0" xfId="0" applyNumberFormat="1" applyFont="1"/>
    <xf numFmtId="0" fontId="12" fillId="0" borderId="0" xfId="0" applyFont="1"/>
    <xf numFmtId="43" fontId="2" fillId="0" borderId="1" xfId="1" applyFont="1" applyBorder="1" applyAlignment="1">
      <alignment horizontal="center" vertical="center"/>
    </xf>
    <xf numFmtId="9" fontId="2" fillId="0" borderId="0" xfId="0" applyNumberFormat="1" applyFont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43" fontId="8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9" fontId="8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3" fontId="14" fillId="0" borderId="1" xfId="1" applyFont="1" applyBorder="1"/>
    <xf numFmtId="43" fontId="14" fillId="2" borderId="1" xfId="1" applyFont="1" applyFill="1" applyBorder="1"/>
    <xf numFmtId="43" fontId="12" fillId="0" borderId="1" xfId="1" applyFont="1" applyBorder="1"/>
    <xf numFmtId="43" fontId="12" fillId="2" borderId="1" xfId="1" applyFont="1" applyFill="1" applyBorder="1"/>
    <xf numFmtId="43" fontId="14" fillId="0" borderId="1" xfId="1" applyFont="1" applyFill="1" applyBorder="1"/>
    <xf numFmtId="43" fontId="12" fillId="0" borderId="1" xfId="1" applyFont="1" applyFill="1" applyBorder="1"/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165" fontId="20" fillId="0" borderId="1" xfId="1" applyNumberFormat="1" applyFont="1" applyBorder="1"/>
    <xf numFmtId="43" fontId="20" fillId="0" borderId="1" xfId="1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43" fontId="2" fillId="0" borderId="0" xfId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9" fillId="0" borderId="1" xfId="1" applyFont="1" applyBorder="1"/>
    <xf numFmtId="0" fontId="19" fillId="0" borderId="0" xfId="0" applyFont="1"/>
    <xf numFmtId="43" fontId="20" fillId="0" borderId="1" xfId="1" applyFont="1" applyBorder="1"/>
    <xf numFmtId="43" fontId="20" fillId="2" borderId="1" xfId="1" applyFont="1" applyFill="1" applyBorder="1"/>
    <xf numFmtId="166" fontId="20" fillId="0" borderId="0" xfId="0" applyNumberFormat="1" applyFont="1"/>
    <xf numFmtId="0" fontId="20" fillId="0" borderId="0" xfId="0" applyFont="1"/>
    <xf numFmtId="0" fontId="4" fillId="0" borderId="0" xfId="0" applyFont="1" applyAlignment="1"/>
    <xf numFmtId="43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/>
    <xf numFmtId="3" fontId="2" fillId="0" borderId="0" xfId="0" applyNumberFormat="1" applyFont="1" applyFill="1"/>
    <xf numFmtId="3" fontId="16" fillId="0" borderId="0" xfId="0" applyNumberFormat="1" applyFont="1" applyFill="1"/>
    <xf numFmtId="165" fontId="2" fillId="0" borderId="1" xfId="1" applyNumberFormat="1" applyFont="1" applyFill="1" applyBorder="1"/>
    <xf numFmtId="165" fontId="2" fillId="0" borderId="1" xfId="0" applyNumberFormat="1" applyFont="1" applyFill="1" applyBorder="1"/>
    <xf numFmtId="165" fontId="16" fillId="0" borderId="1" xfId="0" applyNumberFormat="1" applyFont="1" applyFill="1" applyBorder="1"/>
    <xf numFmtId="165" fontId="2" fillId="0" borderId="2" xfId="1" applyNumberFormat="1" applyFont="1" applyFill="1" applyBorder="1"/>
    <xf numFmtId="167" fontId="2" fillId="0" borderId="1" xfId="1" applyNumberFormat="1" applyFont="1" applyFill="1" applyBorder="1"/>
    <xf numFmtId="0" fontId="2" fillId="0" borderId="1" xfId="0" applyFont="1" applyFill="1" applyBorder="1"/>
    <xf numFmtId="0" fontId="2" fillId="0" borderId="7" xfId="0" applyFont="1" applyBorder="1"/>
    <xf numFmtId="0" fontId="21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43" fontId="2" fillId="0" borderId="0" xfId="0" applyNumberFormat="1" applyFont="1" applyFill="1" applyAlignment="1"/>
    <xf numFmtId="2" fontId="2" fillId="0" borderId="0" xfId="0" applyNumberFormat="1" applyFont="1" applyFill="1"/>
    <xf numFmtId="0" fontId="16" fillId="0" borderId="1" xfId="0" applyFont="1" applyFill="1" applyBorder="1" applyAlignment="1">
      <alignment horizontal="right" vertic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top" wrapText="1"/>
    </xf>
    <xf numFmtId="49" fontId="30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170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9" fontId="27" fillId="4" borderId="1" xfId="0" applyNumberFormat="1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170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171" fontId="27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 wrapText="1"/>
    </xf>
    <xf numFmtId="3" fontId="27" fillId="0" borderId="8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5" borderId="8" xfId="0" applyFont="1" applyFill="1" applyBorder="1" applyAlignment="1">
      <alignment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173" fontId="33" fillId="0" borderId="8" xfId="5" applyNumberFormat="1" applyFont="1" applyFill="1" applyBorder="1" applyAlignment="1" applyProtection="1">
      <alignment horizontal="right" vertical="center" wrapText="1"/>
      <protection locked="0"/>
    </xf>
    <xf numFmtId="173" fontId="34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28" fillId="0" borderId="8" xfId="0" applyFont="1" applyBorder="1" applyAlignment="1">
      <alignment horizontal="right" vertical="top" wrapText="1"/>
    </xf>
    <xf numFmtId="0" fontId="31" fillId="5" borderId="10" xfId="0" applyFont="1" applyFill="1" applyBorder="1" applyAlignment="1">
      <alignment horizontal="center" vertical="center" wrapText="1"/>
    </xf>
    <xf numFmtId="173" fontId="33" fillId="0" borderId="10" xfId="5" applyNumberFormat="1" applyFont="1" applyFill="1" applyBorder="1" applyAlignment="1" applyProtection="1">
      <alignment horizontal="right" vertical="center" wrapText="1"/>
      <protection locked="0"/>
    </xf>
    <xf numFmtId="170" fontId="28" fillId="0" borderId="8" xfId="0" applyNumberFormat="1" applyFont="1" applyBorder="1" applyAlignment="1">
      <alignment horizontal="center" vertical="center" wrapText="1"/>
    </xf>
    <xf numFmtId="170" fontId="28" fillId="0" borderId="8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10" fontId="28" fillId="0" borderId="8" xfId="0" applyNumberFormat="1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horizontal="right" vertical="center" wrapText="1"/>
    </xf>
    <xf numFmtId="3" fontId="28" fillId="0" borderId="8" xfId="0" applyNumberFormat="1" applyFont="1" applyFill="1" applyBorder="1" applyAlignment="1">
      <alignment horizontal="right" vertical="center" wrapText="1"/>
    </xf>
    <xf numFmtId="0" fontId="28" fillId="3" borderId="8" xfId="0" applyFont="1" applyFill="1" applyBorder="1" applyAlignment="1">
      <alignment horizontal="center" vertical="center" wrapText="1"/>
    </xf>
    <xf numFmtId="3" fontId="28" fillId="3" borderId="8" xfId="0" applyNumberFormat="1" applyFont="1" applyFill="1" applyBorder="1" applyAlignment="1">
      <alignment horizontal="right" vertical="center" wrapText="1"/>
    </xf>
    <xf numFmtId="0" fontId="26" fillId="3" borderId="0" xfId="0" applyFont="1" applyFill="1"/>
    <xf numFmtId="0" fontId="28" fillId="0" borderId="8" xfId="0" applyFont="1" applyBorder="1" applyAlignment="1">
      <alignment horizontal="left" vertical="center" wrapText="1"/>
    </xf>
    <xf numFmtId="171" fontId="28" fillId="0" borderId="8" xfId="0" applyNumberFormat="1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3" fontId="28" fillId="0" borderId="8" xfId="0" applyNumberFormat="1" applyFont="1" applyBorder="1" applyAlignment="1">
      <alignment horizontal="right" vertical="center" wrapText="1"/>
    </xf>
    <xf numFmtId="174" fontId="28" fillId="0" borderId="8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170" fontId="28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71" fontId="28" fillId="0" borderId="11" xfId="0" applyNumberFormat="1" applyFont="1" applyBorder="1" applyAlignment="1">
      <alignment horizontal="right" vertical="center" wrapText="1"/>
    </xf>
    <xf numFmtId="0" fontId="28" fillId="0" borderId="11" xfId="0" applyFont="1" applyBorder="1" applyAlignment="1">
      <alignment horizontal="right"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3" fontId="27" fillId="0" borderId="11" xfId="0" applyNumberFormat="1" applyFont="1" applyBorder="1" applyAlignment="1">
      <alignment horizontal="right" vertical="center" wrapText="1"/>
    </xf>
    <xf numFmtId="0" fontId="28" fillId="0" borderId="9" xfId="0" applyFont="1" applyBorder="1" applyAlignment="1">
      <alignment horizontal="center" vertical="center" wrapText="1"/>
    </xf>
    <xf numFmtId="170" fontId="35" fillId="0" borderId="0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3" fontId="36" fillId="0" borderId="12" xfId="0" applyNumberFormat="1" applyFont="1" applyBorder="1" applyAlignment="1">
      <alignment horizontal="right" vertical="center"/>
    </xf>
    <xf numFmtId="9" fontId="26" fillId="0" borderId="0" xfId="2" applyFont="1"/>
    <xf numFmtId="0" fontId="28" fillId="0" borderId="0" xfId="0" applyFont="1" applyAlignment="1">
      <alignment vertical="top" wrapText="1"/>
    </xf>
    <xf numFmtId="4" fontId="36" fillId="0" borderId="13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top" wrapText="1"/>
    </xf>
    <xf numFmtId="0" fontId="22" fillId="0" borderId="0" xfId="6" applyFont="1" applyAlignment="1"/>
    <xf numFmtId="0" fontId="38" fillId="0" borderId="0" xfId="0" applyFont="1"/>
    <xf numFmtId="0" fontId="32" fillId="0" borderId="0" xfId="6" applyFont="1" applyAlignment="1"/>
    <xf numFmtId="0" fontId="36" fillId="0" borderId="13" xfId="0" applyFont="1" applyBorder="1" applyAlignment="1">
      <alignment horizontal="right" vertical="center"/>
    </xf>
    <xf numFmtId="3" fontId="36" fillId="0" borderId="13" xfId="0" applyNumberFormat="1" applyFont="1" applyBorder="1" applyAlignment="1">
      <alignment horizontal="right" vertical="center"/>
    </xf>
    <xf numFmtId="3" fontId="39" fillId="0" borderId="13" xfId="0" applyNumberFormat="1" applyFont="1" applyBorder="1" applyAlignment="1">
      <alignment horizontal="right" vertical="center"/>
    </xf>
    <xf numFmtId="4" fontId="26" fillId="0" borderId="0" xfId="0" applyNumberFormat="1" applyFont="1"/>
    <xf numFmtId="0" fontId="40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9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Fill="1" applyBorder="1" applyAlignment="1" applyProtection="1">
      <alignment vertical="center"/>
    </xf>
    <xf numFmtId="9" fontId="7" fillId="0" borderId="1" xfId="2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9" fontId="7" fillId="0" borderId="1" xfId="2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vertical="center"/>
    </xf>
    <xf numFmtId="4" fontId="22" fillId="0" borderId="1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/>
    </xf>
    <xf numFmtId="168" fontId="41" fillId="0" borderId="1" xfId="0" applyNumberFormat="1" applyFont="1" applyFill="1" applyBorder="1" applyAlignment="1" applyProtection="1">
      <alignment vertical="center"/>
    </xf>
    <xf numFmtId="168" fontId="7" fillId="0" borderId="1" xfId="0" applyNumberFormat="1" applyFont="1" applyFill="1" applyBorder="1" applyAlignment="1" applyProtection="1">
      <alignment vertical="center"/>
    </xf>
    <xf numFmtId="3" fontId="41" fillId="0" borderId="1" xfId="0" applyNumberFormat="1" applyFont="1" applyFill="1" applyBorder="1" applyAlignment="1" applyProtection="1">
      <alignment vertical="center"/>
    </xf>
    <xf numFmtId="0" fontId="42" fillId="0" borderId="1" xfId="0" applyFont="1" applyFill="1" applyBorder="1" applyAlignment="1">
      <alignment horizontal="center" vertical="center"/>
    </xf>
    <xf numFmtId="168" fontId="42" fillId="0" borderId="1" xfId="0" applyNumberFormat="1" applyFont="1" applyBorder="1" applyAlignment="1" applyProtection="1">
      <alignment vertical="center" wrapText="1"/>
      <protection locked="0"/>
    </xf>
    <xf numFmtId="4" fontId="7" fillId="0" borderId="1" xfId="0" quotePrefix="1" applyNumberFormat="1" applyFont="1" applyFill="1" applyBorder="1" applyAlignment="1" applyProtection="1">
      <alignment horizontal="center" vertical="center"/>
    </xf>
    <xf numFmtId="168" fontId="42" fillId="0" borderId="1" xfId="0" applyNumberFormat="1" applyFont="1" applyBorder="1" applyAlignment="1" applyProtection="1">
      <alignment vertical="center"/>
      <protection locked="0"/>
    </xf>
    <xf numFmtId="4" fontId="40" fillId="0" borderId="0" xfId="0" applyNumberFormat="1" applyFont="1"/>
    <xf numFmtId="4" fontId="42" fillId="0" borderId="1" xfId="0" applyNumberFormat="1" applyFont="1" applyFill="1" applyBorder="1" applyAlignment="1" applyProtection="1">
      <alignment horizontal="center" vertical="center"/>
    </xf>
    <xf numFmtId="4" fontId="42" fillId="0" borderId="1" xfId="0" applyNumberFormat="1" applyFont="1" applyFill="1" applyBorder="1" applyAlignment="1" applyProtection="1">
      <alignment vertical="center"/>
    </xf>
    <xf numFmtId="4" fontId="22" fillId="0" borderId="1" xfId="0" applyNumberFormat="1" applyFont="1" applyBorder="1" applyAlignment="1">
      <alignment vertical="center"/>
    </xf>
    <xf numFmtId="3" fontId="43" fillId="0" borderId="0" xfId="0" applyNumberFormat="1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horizontal="right" vertical="center" wrapText="1"/>
    </xf>
    <xf numFmtId="3" fontId="24" fillId="0" borderId="13" xfId="0" applyNumberFormat="1" applyFont="1" applyBorder="1" applyAlignment="1">
      <alignment horizontal="right" vertical="center" wrapText="1"/>
    </xf>
    <xf numFmtId="3" fontId="40" fillId="0" borderId="0" xfId="0" applyNumberFormat="1" applyFont="1"/>
    <xf numFmtId="4" fontId="41" fillId="0" borderId="1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/>
    </xf>
    <xf numFmtId="175" fontId="3" fillId="0" borderId="1" xfId="1" applyNumberFormat="1" applyFont="1" applyBorder="1" applyAlignment="1">
      <alignment horizontal="right" vertical="center" wrapText="1"/>
    </xf>
    <xf numFmtId="3" fontId="44" fillId="0" borderId="12" xfId="0" applyNumberFormat="1" applyFont="1" applyBorder="1" applyAlignment="1">
      <alignment horizontal="right" vertical="center"/>
    </xf>
    <xf numFmtId="4" fontId="45" fillId="0" borderId="13" xfId="0" applyNumberFormat="1" applyFont="1" applyBorder="1" applyAlignment="1">
      <alignment horizontal="right" vertical="center"/>
    </xf>
    <xf numFmtId="0" fontId="45" fillId="0" borderId="13" xfId="0" applyFont="1" applyBorder="1" applyAlignment="1">
      <alignment horizontal="right" vertical="center"/>
    </xf>
    <xf numFmtId="3" fontId="45" fillId="0" borderId="13" xfId="0" applyNumberFormat="1" applyFont="1" applyBorder="1" applyAlignment="1">
      <alignment horizontal="right" vertical="center"/>
    </xf>
    <xf numFmtId="3" fontId="44" fillId="0" borderId="13" xfId="0" applyNumberFormat="1" applyFont="1" applyBorder="1" applyAlignment="1">
      <alignment horizontal="right" vertical="center"/>
    </xf>
    <xf numFmtId="3" fontId="46" fillId="0" borderId="13" xfId="0" applyNumberFormat="1" applyFont="1" applyBorder="1" applyAlignment="1">
      <alignment horizontal="right" vertical="center"/>
    </xf>
    <xf numFmtId="1" fontId="2" fillId="0" borderId="0" xfId="0" applyNumberFormat="1" applyFont="1"/>
    <xf numFmtId="0" fontId="47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65" fontId="16" fillId="0" borderId="1" xfId="1" applyNumberFormat="1" applyFont="1" applyFill="1" applyBorder="1"/>
    <xf numFmtId="43" fontId="2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31" fillId="5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/>
    <xf numFmtId="43" fontId="7" fillId="0" borderId="1" xfId="1" applyFont="1" applyFill="1" applyBorder="1"/>
    <xf numFmtId="8" fontId="52" fillId="0" borderId="1" xfId="0" applyNumberFormat="1" applyFont="1" applyBorder="1" applyAlignment="1">
      <alignment horizontal="right" vertical="center"/>
    </xf>
    <xf numFmtId="3" fontId="26" fillId="0" borderId="0" xfId="0" applyNumberFormat="1" applyFont="1"/>
    <xf numFmtId="3" fontId="24" fillId="0" borderId="12" xfId="0" applyNumberFormat="1" applyFont="1" applyBorder="1" applyAlignment="1">
      <alignment horizontal="right" wrapText="1"/>
    </xf>
    <xf numFmtId="3" fontId="24" fillId="0" borderId="13" xfId="0" applyNumberFormat="1" applyFont="1" applyBorder="1" applyAlignment="1">
      <alignment horizontal="right" wrapText="1"/>
    </xf>
    <xf numFmtId="170" fontId="51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2" fillId="0" borderId="0" xfId="6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0" fontId="49" fillId="0" borderId="0" xfId="0" applyFont="1" applyAlignment="1">
      <alignment horizontal="right" vertical="center" wrapText="1"/>
    </xf>
    <xf numFmtId="49" fontId="30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50" fillId="0" borderId="3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justify"/>
    </xf>
    <xf numFmtId="0" fontId="21" fillId="0" borderId="3" xfId="0" applyFont="1" applyFill="1" applyBorder="1" applyAlignment="1">
      <alignment horizontal="center" vertical="justify" wrapText="1"/>
    </xf>
    <xf numFmtId="0" fontId="21" fillId="0" borderId="3" xfId="0" applyFont="1" applyFill="1" applyBorder="1" applyAlignment="1">
      <alignment horizontal="center" vertical="justify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/>
    </xf>
  </cellXfs>
  <cellStyles count="7">
    <cellStyle name="Comma" xfId="1" builtinId="3"/>
    <cellStyle name="Comma 2" xfId="4"/>
    <cellStyle name="Comma_Sheet1" xfId="5"/>
    <cellStyle name="Normal" xfId="0" builtinId="0"/>
    <cellStyle name="Normal 2" xfId="3"/>
    <cellStyle name="Normal_DUTOAN_VnTime1_ver2" xfId="6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ty%20Khoi%20Nguyen%202\1.%20Nvthong\3.%202021\7.%20Du%20an%20Ap%20Don\Chu%20truong%20xa\5.%20Phuong%20an%20kinh%20doanh%20Ap%20D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My%20Drive\1.%20Nvthong\3.%202021\5.%20Du%20an%20Noi%20Vien\1.%20Chu%20truong%20dau%20tu\5.%20Phuong%20an%20kinh%20doanh%20Noi%20Vien%20(xay%20tho%205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xz"/>
      <sheetName val="PA chọn"/>
      <sheetName val="Kinh doanh"/>
      <sheetName val="PA chọn (2)"/>
      <sheetName val="Kinh doanh (2)"/>
    </sheetNames>
    <sheetDataSet>
      <sheetData sheetId="0"/>
      <sheetData sheetId="1">
        <row r="5">
          <cell r="D5">
            <v>29986.5</v>
          </cell>
        </row>
        <row r="26">
          <cell r="F26">
            <v>60864567.530000001</v>
          </cell>
        </row>
        <row r="30">
          <cell r="F30">
            <v>386849839.20000005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xz"/>
      <sheetName val="PA chọn"/>
      <sheetName val="Kinh doanh"/>
      <sheetName val="PA chọn (2)"/>
      <sheetName val="Kinh doanh (2)"/>
    </sheetNames>
    <sheetDataSet>
      <sheetData sheetId="0"/>
      <sheetData sheetId="1">
        <row r="43">
          <cell r="F43">
            <v>25035913.5</v>
          </cell>
        </row>
      </sheetData>
      <sheetData sheetId="2">
        <row r="7">
          <cell r="E7">
            <v>7.5115368264299995</v>
          </cell>
        </row>
        <row r="40">
          <cell r="E4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B23"/>
  <sheetViews>
    <sheetView workbookViewId="0">
      <selection activeCell="L25" sqref="L25"/>
    </sheetView>
  </sheetViews>
  <sheetFormatPr defaultColWidth="9.140625" defaultRowHeight="15.75"/>
  <cols>
    <col min="1" max="1" width="9.140625" style="1"/>
    <col min="2" max="2" width="30.28515625" style="1" customWidth="1"/>
    <col min="3" max="3" width="17.42578125" style="1" customWidth="1"/>
    <col min="4" max="4" width="14.28515625" style="1" customWidth="1"/>
    <col min="5" max="5" width="15.28515625" style="1" customWidth="1"/>
    <col min="6" max="6" width="15.140625" style="1" customWidth="1"/>
    <col min="7" max="7" width="16.42578125" style="1" customWidth="1"/>
    <col min="8" max="9" width="15.42578125" style="1" customWidth="1"/>
    <col min="10" max="10" width="17.5703125" style="1" customWidth="1"/>
    <col min="11" max="11" width="16.28515625" style="1" customWidth="1"/>
    <col min="12" max="12" width="14.7109375" style="1" customWidth="1"/>
    <col min="13" max="15" width="11.140625" style="1" bestFit="1" customWidth="1"/>
    <col min="16" max="54" width="12.5703125" style="1" bestFit="1" customWidth="1"/>
    <col min="55" max="16384" width="9.140625" style="1"/>
  </cols>
  <sheetData>
    <row r="2" spans="1:54" ht="30" customHeight="1">
      <c r="A2" s="282" t="s">
        <v>57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</row>
    <row r="3" spans="1:54" ht="30" customHeight="1"/>
    <row r="4" spans="1:54" ht="30" customHeight="1">
      <c r="A4" s="273" t="s">
        <v>0</v>
      </c>
      <c r="B4" s="273" t="s">
        <v>1</v>
      </c>
      <c r="C4" s="273" t="s">
        <v>19</v>
      </c>
      <c r="D4" s="273"/>
      <c r="E4" s="273"/>
      <c r="F4" s="273"/>
      <c r="G4" s="27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30" customHeight="1">
      <c r="A5" s="273"/>
      <c r="B5" s="273"/>
      <c r="C5" s="49" t="s">
        <v>2</v>
      </c>
      <c r="D5" s="49" t="s">
        <v>20</v>
      </c>
      <c r="E5" s="49" t="s">
        <v>14</v>
      </c>
      <c r="F5" s="49" t="s">
        <v>15</v>
      </c>
      <c r="G5" s="49" t="s">
        <v>9</v>
      </c>
      <c r="H5" s="49" t="s">
        <v>10</v>
      </c>
      <c r="I5" s="49" t="s">
        <v>13</v>
      </c>
      <c r="J5" s="49" t="s">
        <v>11</v>
      </c>
      <c r="K5" s="49" t="s">
        <v>12</v>
      </c>
      <c r="L5" s="49" t="s">
        <v>21</v>
      </c>
      <c r="M5" s="49" t="s">
        <v>24</v>
      </c>
      <c r="N5" s="49" t="s">
        <v>25</v>
      </c>
      <c r="O5" s="49" t="s">
        <v>26</v>
      </c>
      <c r="P5" s="49" t="s">
        <v>27</v>
      </c>
      <c r="Q5" s="49" t="s">
        <v>28</v>
      </c>
      <c r="R5" s="49" t="s">
        <v>29</v>
      </c>
      <c r="S5" s="49" t="s">
        <v>30</v>
      </c>
      <c r="T5" s="49" t="s">
        <v>31</v>
      </c>
      <c r="U5" s="49" t="s">
        <v>32</v>
      </c>
      <c r="V5" s="49" t="s">
        <v>33</v>
      </c>
      <c r="W5" s="49" t="s">
        <v>34</v>
      </c>
      <c r="X5" s="49" t="s">
        <v>35</v>
      </c>
      <c r="Y5" s="49" t="s">
        <v>36</v>
      </c>
      <c r="Z5" s="49" t="s">
        <v>37</v>
      </c>
      <c r="AA5" s="49" t="s">
        <v>38</v>
      </c>
      <c r="AB5" s="49" t="s">
        <v>39</v>
      </c>
      <c r="AC5" s="49" t="s">
        <v>40</v>
      </c>
      <c r="AD5" s="49" t="s">
        <v>41</v>
      </c>
      <c r="AE5" s="49" t="s">
        <v>42</v>
      </c>
      <c r="AF5" s="49" t="s">
        <v>43</v>
      </c>
      <c r="AG5" s="49" t="s">
        <v>44</v>
      </c>
      <c r="AH5" s="49" t="s">
        <v>45</v>
      </c>
      <c r="AI5" s="49" t="s">
        <v>46</v>
      </c>
      <c r="AJ5" s="49" t="s">
        <v>47</v>
      </c>
      <c r="AK5" s="49" t="s">
        <v>48</v>
      </c>
      <c r="AL5" s="49" t="s">
        <v>49</v>
      </c>
      <c r="AM5" s="49" t="s">
        <v>50</v>
      </c>
      <c r="AN5" s="49" t="s">
        <v>51</v>
      </c>
      <c r="AO5" s="49" t="s">
        <v>52</v>
      </c>
      <c r="AP5" s="49" t="s">
        <v>53</v>
      </c>
      <c r="AQ5" s="49" t="s">
        <v>54</v>
      </c>
      <c r="AR5" s="49" t="s">
        <v>55</v>
      </c>
      <c r="AS5" s="49" t="s">
        <v>56</v>
      </c>
      <c r="AT5" s="49" t="s">
        <v>84</v>
      </c>
      <c r="AU5" s="49" t="s">
        <v>85</v>
      </c>
      <c r="AV5" s="49" t="s">
        <v>86</v>
      </c>
      <c r="AW5" s="49" t="s">
        <v>87</v>
      </c>
      <c r="AX5" s="49" t="s">
        <v>88</v>
      </c>
      <c r="AY5" s="49" t="s">
        <v>89</v>
      </c>
      <c r="AZ5" s="49" t="s">
        <v>90</v>
      </c>
      <c r="BA5" s="49" t="s">
        <v>91</v>
      </c>
      <c r="BB5" s="49" t="s">
        <v>92</v>
      </c>
    </row>
    <row r="6" spans="1:54" ht="30" customHeight="1">
      <c r="A6" s="49">
        <v>1</v>
      </c>
      <c r="B6" s="7" t="s">
        <v>22</v>
      </c>
      <c r="C6" s="4"/>
      <c r="D6" s="5" t="e">
        <f>+#REF!/1000000</f>
        <v>#REF!</v>
      </c>
      <c r="E6" s="5" t="e">
        <f>+D6*1.05</f>
        <v>#REF!</v>
      </c>
      <c r="F6" s="5" t="e">
        <f t="shared" ref="F6:U8" si="0">+E6*1.05</f>
        <v>#REF!</v>
      </c>
      <c r="G6" s="5" t="e">
        <f t="shared" si="0"/>
        <v>#REF!</v>
      </c>
      <c r="H6" s="5" t="e">
        <f t="shared" si="0"/>
        <v>#REF!</v>
      </c>
      <c r="I6" s="5" t="e">
        <f t="shared" si="0"/>
        <v>#REF!</v>
      </c>
      <c r="J6" s="5" t="e">
        <f t="shared" si="0"/>
        <v>#REF!</v>
      </c>
      <c r="K6" s="5" t="e">
        <f t="shared" si="0"/>
        <v>#REF!</v>
      </c>
      <c r="L6" s="5" t="e">
        <f t="shared" si="0"/>
        <v>#REF!</v>
      </c>
      <c r="M6" s="5" t="e">
        <f t="shared" si="0"/>
        <v>#REF!</v>
      </c>
      <c r="N6" s="5" t="e">
        <f t="shared" si="0"/>
        <v>#REF!</v>
      </c>
      <c r="O6" s="5" t="e">
        <f t="shared" si="0"/>
        <v>#REF!</v>
      </c>
      <c r="P6" s="5" t="e">
        <f t="shared" si="0"/>
        <v>#REF!</v>
      </c>
      <c r="Q6" s="5" t="e">
        <f t="shared" si="0"/>
        <v>#REF!</v>
      </c>
      <c r="R6" s="5" t="e">
        <f t="shared" si="0"/>
        <v>#REF!</v>
      </c>
      <c r="S6" s="5" t="e">
        <f t="shared" si="0"/>
        <v>#REF!</v>
      </c>
      <c r="T6" s="5" t="e">
        <f t="shared" si="0"/>
        <v>#REF!</v>
      </c>
      <c r="U6" s="5" t="e">
        <f t="shared" si="0"/>
        <v>#REF!</v>
      </c>
      <c r="V6" s="5" t="e">
        <f t="shared" ref="V6:AK8" si="1">+U6*1.05</f>
        <v>#REF!</v>
      </c>
      <c r="W6" s="5" t="e">
        <f t="shared" si="1"/>
        <v>#REF!</v>
      </c>
      <c r="X6" s="5" t="e">
        <f t="shared" si="1"/>
        <v>#REF!</v>
      </c>
      <c r="Y6" s="5" t="e">
        <f t="shared" si="1"/>
        <v>#REF!</v>
      </c>
      <c r="Z6" s="5" t="e">
        <f t="shared" si="1"/>
        <v>#REF!</v>
      </c>
      <c r="AA6" s="5" t="e">
        <f t="shared" si="1"/>
        <v>#REF!</v>
      </c>
      <c r="AB6" s="5" t="e">
        <f t="shared" si="1"/>
        <v>#REF!</v>
      </c>
      <c r="AC6" s="5" t="e">
        <f t="shared" si="1"/>
        <v>#REF!</v>
      </c>
      <c r="AD6" s="5" t="e">
        <f t="shared" si="1"/>
        <v>#REF!</v>
      </c>
      <c r="AE6" s="5" t="e">
        <f t="shared" si="1"/>
        <v>#REF!</v>
      </c>
      <c r="AF6" s="5" t="e">
        <f t="shared" si="1"/>
        <v>#REF!</v>
      </c>
      <c r="AG6" s="5" t="e">
        <f t="shared" si="1"/>
        <v>#REF!</v>
      </c>
      <c r="AH6" s="5" t="e">
        <f t="shared" si="1"/>
        <v>#REF!</v>
      </c>
      <c r="AI6" s="5" t="e">
        <f t="shared" si="1"/>
        <v>#REF!</v>
      </c>
      <c r="AJ6" s="5" t="e">
        <f t="shared" si="1"/>
        <v>#REF!</v>
      </c>
      <c r="AK6" s="5" t="e">
        <f t="shared" si="1"/>
        <v>#REF!</v>
      </c>
      <c r="AL6" s="5" t="e">
        <f t="shared" ref="AL6:BA8" si="2">+AK6*1.05</f>
        <v>#REF!</v>
      </c>
      <c r="AM6" s="5" t="e">
        <f t="shared" si="2"/>
        <v>#REF!</v>
      </c>
      <c r="AN6" s="5" t="e">
        <f t="shared" si="2"/>
        <v>#REF!</v>
      </c>
      <c r="AO6" s="5" t="e">
        <f t="shared" si="2"/>
        <v>#REF!</v>
      </c>
      <c r="AP6" s="5" t="e">
        <f t="shared" si="2"/>
        <v>#REF!</v>
      </c>
      <c r="AQ6" s="5" t="e">
        <f t="shared" si="2"/>
        <v>#REF!</v>
      </c>
      <c r="AR6" s="5" t="e">
        <f t="shared" si="2"/>
        <v>#REF!</v>
      </c>
      <c r="AS6" s="5" t="e">
        <f t="shared" si="2"/>
        <v>#REF!</v>
      </c>
      <c r="AT6" s="5" t="e">
        <f t="shared" si="2"/>
        <v>#REF!</v>
      </c>
      <c r="AU6" s="5" t="e">
        <f t="shared" si="2"/>
        <v>#REF!</v>
      </c>
      <c r="AV6" s="5" t="e">
        <f t="shared" si="2"/>
        <v>#REF!</v>
      </c>
      <c r="AW6" s="5" t="e">
        <f t="shared" si="2"/>
        <v>#REF!</v>
      </c>
      <c r="AX6" s="5" t="e">
        <f t="shared" si="2"/>
        <v>#REF!</v>
      </c>
      <c r="AY6" s="5" t="e">
        <f t="shared" si="2"/>
        <v>#REF!</v>
      </c>
      <c r="AZ6" s="5" t="e">
        <f t="shared" si="2"/>
        <v>#REF!</v>
      </c>
      <c r="BA6" s="5" t="e">
        <f t="shared" si="2"/>
        <v>#REF!</v>
      </c>
      <c r="BB6" s="5" t="e">
        <f t="shared" ref="BB6:BB8" si="3">+BA6*1.05</f>
        <v>#REF!</v>
      </c>
    </row>
    <row r="7" spans="1:54" ht="63">
      <c r="A7" s="49">
        <v>2</v>
      </c>
      <c r="B7" s="7" t="s">
        <v>80</v>
      </c>
      <c r="C7" s="4"/>
      <c r="D7" s="5">
        <f>1.9*6000</f>
        <v>11400</v>
      </c>
      <c r="E7" s="5">
        <f t="shared" ref="E7:T12" si="4">+D7*1.05</f>
        <v>11970</v>
      </c>
      <c r="F7" s="5">
        <f t="shared" si="4"/>
        <v>12568.5</v>
      </c>
      <c r="G7" s="5">
        <f t="shared" si="4"/>
        <v>13196.925000000001</v>
      </c>
      <c r="H7" s="5">
        <f t="shared" si="4"/>
        <v>13856.771250000002</v>
      </c>
      <c r="I7" s="5">
        <f t="shared" si="4"/>
        <v>14549.609812500003</v>
      </c>
      <c r="J7" s="5">
        <f t="shared" si="4"/>
        <v>15277.090303125004</v>
      </c>
      <c r="K7" s="5">
        <f t="shared" si="4"/>
        <v>16040.944818281254</v>
      </c>
      <c r="L7" s="5">
        <f t="shared" si="4"/>
        <v>16842.992059195316</v>
      </c>
      <c r="M7" s="5">
        <f t="shared" si="4"/>
        <v>17685.141662155082</v>
      </c>
      <c r="N7" s="5">
        <f t="shared" si="4"/>
        <v>18569.398745262835</v>
      </c>
      <c r="O7" s="5">
        <f t="shared" si="4"/>
        <v>19497.868682525979</v>
      </c>
      <c r="P7" s="5">
        <f t="shared" si="4"/>
        <v>20472.76211665228</v>
      </c>
      <c r="Q7" s="5">
        <f t="shared" si="4"/>
        <v>21496.400222484895</v>
      </c>
      <c r="R7" s="5">
        <f t="shared" si="4"/>
        <v>22571.22023360914</v>
      </c>
      <c r="S7" s="5">
        <f t="shared" si="4"/>
        <v>23699.781245289596</v>
      </c>
      <c r="T7" s="5">
        <f t="shared" si="4"/>
        <v>24884.770307554078</v>
      </c>
      <c r="U7" s="5">
        <f t="shared" si="0"/>
        <v>26129.008822931784</v>
      </c>
      <c r="V7" s="5">
        <f t="shared" si="1"/>
        <v>27435.459264078374</v>
      </c>
      <c r="W7" s="5">
        <f t="shared" si="1"/>
        <v>28807.232227282293</v>
      </c>
      <c r="X7" s="5">
        <f t="shared" si="1"/>
        <v>30247.593838646408</v>
      </c>
      <c r="Y7" s="5">
        <f t="shared" si="1"/>
        <v>31759.973530578729</v>
      </c>
      <c r="Z7" s="5">
        <f t="shared" si="1"/>
        <v>33347.972207107669</v>
      </c>
      <c r="AA7" s="5">
        <f t="shared" si="1"/>
        <v>35015.370817463052</v>
      </c>
      <c r="AB7" s="5">
        <f t="shared" si="1"/>
        <v>36766.139358336208</v>
      </c>
      <c r="AC7" s="5">
        <f t="shared" si="1"/>
        <v>38604.446326253019</v>
      </c>
      <c r="AD7" s="5">
        <f t="shared" si="1"/>
        <v>40534.668642565674</v>
      </c>
      <c r="AE7" s="5">
        <f t="shared" si="1"/>
        <v>42561.402074693957</v>
      </c>
      <c r="AF7" s="5">
        <f t="shared" si="1"/>
        <v>44689.472178428659</v>
      </c>
      <c r="AG7" s="5">
        <f t="shared" si="1"/>
        <v>46923.945787350094</v>
      </c>
      <c r="AH7" s="5">
        <f t="shared" si="1"/>
        <v>49270.143076717599</v>
      </c>
      <c r="AI7" s="5">
        <f t="shared" si="1"/>
        <v>51733.650230553481</v>
      </c>
      <c r="AJ7" s="5">
        <f t="shared" si="1"/>
        <v>54320.332742081155</v>
      </c>
      <c r="AK7" s="5">
        <f t="shared" si="1"/>
        <v>57036.349379185216</v>
      </c>
      <c r="AL7" s="5">
        <f t="shared" si="2"/>
        <v>59888.166848144479</v>
      </c>
      <c r="AM7" s="5">
        <f t="shared" si="2"/>
        <v>62882.575190551703</v>
      </c>
      <c r="AN7" s="5">
        <f t="shared" si="2"/>
        <v>66026.703950079289</v>
      </c>
      <c r="AO7" s="5">
        <f t="shared" si="2"/>
        <v>69328.039147583258</v>
      </c>
      <c r="AP7" s="5">
        <f t="shared" si="2"/>
        <v>72794.441104962418</v>
      </c>
      <c r="AQ7" s="5">
        <f t="shared" si="2"/>
        <v>76434.163160210548</v>
      </c>
      <c r="AR7" s="5">
        <f t="shared" si="2"/>
        <v>80255.871318221078</v>
      </c>
      <c r="AS7" s="5">
        <f t="shared" si="2"/>
        <v>84268.664884132129</v>
      </c>
      <c r="AT7" s="5">
        <f t="shared" si="2"/>
        <v>88482.098128338737</v>
      </c>
      <c r="AU7" s="5">
        <f t="shared" si="2"/>
        <v>92906.203034755672</v>
      </c>
      <c r="AV7" s="5">
        <f t="shared" si="2"/>
        <v>97551.513186493466</v>
      </c>
      <c r="AW7" s="5">
        <f t="shared" si="2"/>
        <v>102429.08884581814</v>
      </c>
      <c r="AX7" s="5">
        <f t="shared" si="2"/>
        <v>107550.54328810905</v>
      </c>
      <c r="AY7" s="5">
        <f t="shared" si="2"/>
        <v>112928.07045251451</v>
      </c>
      <c r="AZ7" s="5">
        <f t="shared" si="2"/>
        <v>118574.47397514024</v>
      </c>
      <c r="BA7" s="5">
        <f t="shared" si="2"/>
        <v>124503.19767389726</v>
      </c>
      <c r="BB7" s="5">
        <f t="shared" si="3"/>
        <v>130728.35755759213</v>
      </c>
    </row>
    <row r="8" spans="1:54" s="54" customFormat="1" ht="30" customHeight="1">
      <c r="A8" s="50">
        <v>3</v>
      </c>
      <c r="B8" s="51" t="s">
        <v>83</v>
      </c>
      <c r="C8" s="52"/>
      <c r="D8" s="53">
        <f>10*10</f>
        <v>100</v>
      </c>
      <c r="E8" s="53">
        <f t="shared" si="4"/>
        <v>105</v>
      </c>
      <c r="F8" s="53">
        <f t="shared" si="4"/>
        <v>110.25</v>
      </c>
      <c r="G8" s="53">
        <f t="shared" si="4"/>
        <v>115.7625</v>
      </c>
      <c r="H8" s="53">
        <f t="shared" si="4"/>
        <v>121.55062500000001</v>
      </c>
      <c r="I8" s="53">
        <f t="shared" si="4"/>
        <v>127.62815625000002</v>
      </c>
      <c r="J8" s="53">
        <f t="shared" si="4"/>
        <v>134.00956406250003</v>
      </c>
      <c r="K8" s="53">
        <f t="shared" si="4"/>
        <v>140.71004226562505</v>
      </c>
      <c r="L8" s="53">
        <f t="shared" si="4"/>
        <v>147.74554437890632</v>
      </c>
      <c r="M8" s="53">
        <f t="shared" si="4"/>
        <v>155.13282159785163</v>
      </c>
      <c r="N8" s="53">
        <f t="shared" si="4"/>
        <v>162.88946267774421</v>
      </c>
      <c r="O8" s="53">
        <f t="shared" si="4"/>
        <v>171.03393581163144</v>
      </c>
      <c r="P8" s="53">
        <f t="shared" si="4"/>
        <v>179.58563260221302</v>
      </c>
      <c r="Q8" s="53">
        <f t="shared" si="4"/>
        <v>188.56491423232367</v>
      </c>
      <c r="R8" s="53">
        <f t="shared" si="4"/>
        <v>197.99315994393987</v>
      </c>
      <c r="S8" s="53">
        <f t="shared" si="4"/>
        <v>207.89281794113688</v>
      </c>
      <c r="T8" s="53">
        <f t="shared" si="4"/>
        <v>218.28745883819374</v>
      </c>
      <c r="U8" s="53">
        <f t="shared" si="0"/>
        <v>229.20183178010345</v>
      </c>
      <c r="V8" s="53">
        <f t="shared" si="1"/>
        <v>240.66192336910862</v>
      </c>
      <c r="W8" s="53">
        <f t="shared" si="1"/>
        <v>252.69501953756406</v>
      </c>
      <c r="X8" s="53">
        <f t="shared" si="1"/>
        <v>265.32977051444226</v>
      </c>
      <c r="Y8" s="53">
        <f t="shared" si="1"/>
        <v>278.5962590401644</v>
      </c>
      <c r="Z8" s="53">
        <f t="shared" si="1"/>
        <v>292.5260719921726</v>
      </c>
      <c r="AA8" s="53">
        <f t="shared" si="1"/>
        <v>307.15237559178127</v>
      </c>
      <c r="AB8" s="53">
        <f t="shared" si="1"/>
        <v>322.50999437137034</v>
      </c>
      <c r="AC8" s="53">
        <f t="shared" si="1"/>
        <v>338.63549408993885</v>
      </c>
      <c r="AD8" s="53">
        <f t="shared" si="1"/>
        <v>355.56726879443579</v>
      </c>
      <c r="AE8" s="53">
        <f t="shared" si="1"/>
        <v>373.34563223415762</v>
      </c>
      <c r="AF8" s="53">
        <f t="shared" si="1"/>
        <v>392.01291384586551</v>
      </c>
      <c r="AG8" s="53">
        <f t="shared" si="1"/>
        <v>411.61355953815882</v>
      </c>
      <c r="AH8" s="53">
        <f t="shared" si="1"/>
        <v>432.19423751506679</v>
      </c>
      <c r="AI8" s="53">
        <f t="shared" si="1"/>
        <v>453.80394939082015</v>
      </c>
      <c r="AJ8" s="53">
        <f t="shared" si="1"/>
        <v>476.49414686036118</v>
      </c>
      <c r="AK8" s="53">
        <f t="shared" si="1"/>
        <v>500.31885420337926</v>
      </c>
      <c r="AL8" s="53">
        <f t="shared" si="2"/>
        <v>525.33479691354819</v>
      </c>
      <c r="AM8" s="53">
        <f t="shared" si="2"/>
        <v>551.60153675922561</v>
      </c>
      <c r="AN8" s="53">
        <f t="shared" si="2"/>
        <v>579.18161359718692</v>
      </c>
      <c r="AO8" s="53">
        <f t="shared" si="2"/>
        <v>608.14069427704635</v>
      </c>
      <c r="AP8" s="53">
        <f t="shared" si="2"/>
        <v>638.54772899089869</v>
      </c>
      <c r="AQ8" s="53">
        <f t="shared" si="2"/>
        <v>670.47511544044369</v>
      </c>
      <c r="AR8" s="53">
        <f t="shared" si="2"/>
        <v>703.99887121246593</v>
      </c>
      <c r="AS8" s="53">
        <f t="shared" si="2"/>
        <v>739.19881477308923</v>
      </c>
      <c r="AT8" s="53">
        <f t="shared" si="2"/>
        <v>776.15875551174372</v>
      </c>
      <c r="AU8" s="53">
        <f t="shared" si="2"/>
        <v>814.96669328733094</v>
      </c>
      <c r="AV8" s="53">
        <f t="shared" si="2"/>
        <v>855.71502795169749</v>
      </c>
      <c r="AW8" s="53">
        <f t="shared" si="2"/>
        <v>898.50077934928242</v>
      </c>
      <c r="AX8" s="53">
        <f t="shared" si="2"/>
        <v>943.42581831674659</v>
      </c>
      <c r="AY8" s="53">
        <f t="shared" si="2"/>
        <v>990.59710923258399</v>
      </c>
      <c r="AZ8" s="53">
        <f t="shared" si="2"/>
        <v>1040.1269646942133</v>
      </c>
      <c r="BA8" s="53">
        <f t="shared" si="2"/>
        <v>1092.1333129289239</v>
      </c>
      <c r="BB8" s="53">
        <f t="shared" si="3"/>
        <v>1146.7399785753703</v>
      </c>
    </row>
    <row r="9" spans="1:54" ht="30" customHeight="1">
      <c r="A9" s="49">
        <v>4</v>
      </c>
      <c r="B9" s="7" t="s">
        <v>23</v>
      </c>
      <c r="C9" s="4"/>
      <c r="D9" s="5">
        <v>455</v>
      </c>
      <c r="E9" s="5">
        <f>+D9</f>
        <v>455</v>
      </c>
      <c r="F9" s="5">
        <f t="shared" ref="F9:BB9" si="5">+E9</f>
        <v>455</v>
      </c>
      <c r="G9" s="5">
        <f t="shared" si="5"/>
        <v>455</v>
      </c>
      <c r="H9" s="5">
        <f t="shared" si="5"/>
        <v>455</v>
      </c>
      <c r="I9" s="5">
        <f t="shared" si="5"/>
        <v>455</v>
      </c>
      <c r="J9" s="5">
        <f t="shared" si="5"/>
        <v>455</v>
      </c>
      <c r="K9" s="5">
        <f t="shared" si="5"/>
        <v>455</v>
      </c>
      <c r="L9" s="5">
        <f t="shared" si="5"/>
        <v>455</v>
      </c>
      <c r="M9" s="5">
        <f t="shared" si="5"/>
        <v>455</v>
      </c>
      <c r="N9" s="5">
        <f t="shared" si="5"/>
        <v>455</v>
      </c>
      <c r="O9" s="5">
        <f t="shared" si="5"/>
        <v>455</v>
      </c>
      <c r="P9" s="5">
        <f t="shared" si="5"/>
        <v>455</v>
      </c>
      <c r="Q9" s="5">
        <f t="shared" si="5"/>
        <v>455</v>
      </c>
      <c r="R9" s="5">
        <f t="shared" si="5"/>
        <v>455</v>
      </c>
      <c r="S9" s="5">
        <f t="shared" si="5"/>
        <v>455</v>
      </c>
      <c r="T9" s="5">
        <f t="shared" si="5"/>
        <v>455</v>
      </c>
      <c r="U9" s="5">
        <f t="shared" si="5"/>
        <v>455</v>
      </c>
      <c r="V9" s="5">
        <f t="shared" si="5"/>
        <v>455</v>
      </c>
      <c r="W9" s="5">
        <f t="shared" si="5"/>
        <v>455</v>
      </c>
      <c r="X9" s="5">
        <f t="shared" si="5"/>
        <v>455</v>
      </c>
      <c r="Y9" s="5">
        <f t="shared" si="5"/>
        <v>455</v>
      </c>
      <c r="Z9" s="5">
        <f t="shared" si="5"/>
        <v>455</v>
      </c>
      <c r="AA9" s="5">
        <f t="shared" si="5"/>
        <v>455</v>
      </c>
      <c r="AB9" s="5">
        <f t="shared" si="5"/>
        <v>455</v>
      </c>
      <c r="AC9" s="5">
        <f t="shared" si="5"/>
        <v>455</v>
      </c>
      <c r="AD9" s="5">
        <f t="shared" si="5"/>
        <v>455</v>
      </c>
      <c r="AE9" s="5">
        <f t="shared" si="5"/>
        <v>455</v>
      </c>
      <c r="AF9" s="5">
        <f t="shared" si="5"/>
        <v>455</v>
      </c>
      <c r="AG9" s="5">
        <f t="shared" si="5"/>
        <v>455</v>
      </c>
      <c r="AH9" s="5">
        <f t="shared" si="5"/>
        <v>455</v>
      </c>
      <c r="AI9" s="5">
        <f t="shared" si="5"/>
        <v>455</v>
      </c>
      <c r="AJ9" s="5">
        <f t="shared" si="5"/>
        <v>455</v>
      </c>
      <c r="AK9" s="5">
        <f t="shared" si="5"/>
        <v>455</v>
      </c>
      <c r="AL9" s="5">
        <f t="shared" si="5"/>
        <v>455</v>
      </c>
      <c r="AM9" s="5">
        <f t="shared" si="5"/>
        <v>455</v>
      </c>
      <c r="AN9" s="5">
        <f t="shared" si="5"/>
        <v>455</v>
      </c>
      <c r="AO9" s="5">
        <f t="shared" si="5"/>
        <v>455</v>
      </c>
      <c r="AP9" s="5">
        <f t="shared" si="5"/>
        <v>455</v>
      </c>
      <c r="AQ9" s="5">
        <f t="shared" si="5"/>
        <v>455</v>
      </c>
      <c r="AR9" s="5">
        <f t="shared" si="5"/>
        <v>455</v>
      </c>
      <c r="AS9" s="5">
        <f t="shared" si="5"/>
        <v>455</v>
      </c>
      <c r="AT9" s="5">
        <f t="shared" si="5"/>
        <v>455</v>
      </c>
      <c r="AU9" s="5">
        <f t="shared" si="5"/>
        <v>455</v>
      </c>
      <c r="AV9" s="5">
        <f t="shared" si="5"/>
        <v>455</v>
      </c>
      <c r="AW9" s="5">
        <f t="shared" si="5"/>
        <v>455</v>
      </c>
      <c r="AX9" s="5">
        <f t="shared" si="5"/>
        <v>455</v>
      </c>
      <c r="AY9" s="5">
        <f t="shared" si="5"/>
        <v>455</v>
      </c>
      <c r="AZ9" s="5">
        <f t="shared" si="5"/>
        <v>455</v>
      </c>
      <c r="BA9" s="5">
        <f t="shared" si="5"/>
        <v>455</v>
      </c>
      <c r="BB9" s="5">
        <f t="shared" si="5"/>
        <v>455</v>
      </c>
    </row>
    <row r="10" spans="1:54" s="54" customFormat="1" ht="78.75">
      <c r="A10" s="50">
        <v>5</v>
      </c>
      <c r="B10" s="51" t="s">
        <v>76</v>
      </c>
      <c r="C10" s="52"/>
      <c r="D10" s="53">
        <f>1%*('Bảng tính lãi vay'!$E$3-7000)</f>
        <v>780.21904925168303</v>
      </c>
      <c r="E10" s="53">
        <f>1%*('Bảng tính lãi vay'!$E$3-7000)</f>
        <v>780.21904925168303</v>
      </c>
      <c r="F10" s="53">
        <f>1%*('Bảng tính lãi vay'!$E$3-7000)</f>
        <v>780.21904925168303</v>
      </c>
      <c r="G10" s="53">
        <f>1%*('Bảng tính lãi vay'!$E$3-7000)</f>
        <v>780.21904925168303</v>
      </c>
      <c r="H10" s="53">
        <f>1%*('Bảng tính lãi vay'!$E$3-7000)</f>
        <v>780.21904925168303</v>
      </c>
      <c r="I10" s="53">
        <f>5%*('Bảng tính lãi vay'!$E$3-7000)</f>
        <v>3901.0952462584155</v>
      </c>
      <c r="J10" s="53">
        <f>1%*('Bảng tính lãi vay'!$E$3-7000)</f>
        <v>780.21904925168303</v>
      </c>
      <c r="K10" s="53">
        <f>1%*('Bảng tính lãi vay'!$E$3-7000)</f>
        <v>780.21904925168303</v>
      </c>
      <c r="L10" s="53">
        <f>1%*('Bảng tính lãi vay'!$E$3-7000)</f>
        <v>780.21904925168303</v>
      </c>
      <c r="M10" s="53">
        <f>1%*('Bảng tính lãi vay'!$E$3-7000)</f>
        <v>780.21904925168303</v>
      </c>
      <c r="N10" s="53">
        <f>5%*('Bảng tính lãi vay'!$E$3-7000)</f>
        <v>3901.0952462584155</v>
      </c>
      <c r="O10" s="53">
        <f>1%*('Bảng tính lãi vay'!$E$3-7000)</f>
        <v>780.21904925168303</v>
      </c>
      <c r="P10" s="53">
        <f>1%*('Bảng tính lãi vay'!$E$3-7000)</f>
        <v>780.21904925168303</v>
      </c>
      <c r="Q10" s="53">
        <f>1%*('Bảng tính lãi vay'!$E$3-7000)</f>
        <v>780.21904925168303</v>
      </c>
      <c r="R10" s="53">
        <f>1%*('Bảng tính lãi vay'!$E$3-7000)</f>
        <v>780.21904925168303</v>
      </c>
      <c r="S10" s="53">
        <f>5%*('Bảng tính lãi vay'!$E$3-7000)</f>
        <v>3901.0952462584155</v>
      </c>
      <c r="T10" s="53">
        <f>1%*('Bảng tính lãi vay'!$E$3-7000)</f>
        <v>780.21904925168303</v>
      </c>
      <c r="U10" s="53">
        <f>1%*('Bảng tính lãi vay'!$E$3-7000)</f>
        <v>780.21904925168303</v>
      </c>
      <c r="V10" s="53">
        <f>1%*('Bảng tính lãi vay'!$E$3-7000)</f>
        <v>780.21904925168303</v>
      </c>
      <c r="W10" s="53">
        <f>1%*('Bảng tính lãi vay'!$E$3-7000)</f>
        <v>780.21904925168303</v>
      </c>
      <c r="X10" s="53">
        <f>5%*('Bảng tính lãi vay'!$E$3-7000)</f>
        <v>3901.0952462584155</v>
      </c>
      <c r="Y10" s="53">
        <f>1%*('Bảng tính lãi vay'!$E$3-7000)</f>
        <v>780.21904925168303</v>
      </c>
      <c r="Z10" s="53">
        <f>1%*('Bảng tính lãi vay'!$E$3-7000)</f>
        <v>780.21904925168303</v>
      </c>
      <c r="AA10" s="53">
        <f>1%*('Bảng tính lãi vay'!$E$3-7000)</f>
        <v>780.21904925168303</v>
      </c>
      <c r="AB10" s="53">
        <f>1%*('Bảng tính lãi vay'!$E$3-7000)</f>
        <v>780.21904925168303</v>
      </c>
      <c r="AC10" s="53">
        <f>5%*('Bảng tính lãi vay'!$E$3-7000)</f>
        <v>3901.0952462584155</v>
      </c>
      <c r="AD10" s="53">
        <f>1%*('Bảng tính lãi vay'!$E$3-7000)</f>
        <v>780.21904925168303</v>
      </c>
      <c r="AE10" s="53">
        <f>1%*('Bảng tính lãi vay'!$E$3-7000)</f>
        <v>780.21904925168303</v>
      </c>
      <c r="AF10" s="53">
        <f>1%*('Bảng tính lãi vay'!$E$3-7000)</f>
        <v>780.21904925168303</v>
      </c>
      <c r="AG10" s="53">
        <f>1%*('Bảng tính lãi vay'!$E$3-7000)</f>
        <v>780.21904925168303</v>
      </c>
      <c r="AH10" s="53">
        <f>5%*('Bảng tính lãi vay'!$E$3-7000)</f>
        <v>3901.0952462584155</v>
      </c>
      <c r="AI10" s="53">
        <f>1%*('Bảng tính lãi vay'!$E$3-7000)</f>
        <v>780.21904925168303</v>
      </c>
      <c r="AJ10" s="53">
        <f>1%*('Bảng tính lãi vay'!$E$3-7000)</f>
        <v>780.21904925168303</v>
      </c>
      <c r="AK10" s="53">
        <f>1%*('Bảng tính lãi vay'!$E$3-7000)</f>
        <v>780.21904925168303</v>
      </c>
      <c r="AL10" s="53">
        <f>1%*('Bảng tính lãi vay'!$E$3-7000)</f>
        <v>780.21904925168303</v>
      </c>
      <c r="AM10" s="53">
        <f>5%*('Bảng tính lãi vay'!$E$3-7000)</f>
        <v>3901.0952462584155</v>
      </c>
      <c r="AN10" s="53">
        <f>1%*('Bảng tính lãi vay'!$E$3-7000)</f>
        <v>780.21904925168303</v>
      </c>
      <c r="AO10" s="53">
        <f>1%*('Bảng tính lãi vay'!$E$3-7000)</f>
        <v>780.21904925168303</v>
      </c>
      <c r="AP10" s="53">
        <f>1%*('Bảng tính lãi vay'!$E$3-7000)</f>
        <v>780.21904925168303</v>
      </c>
      <c r="AQ10" s="53">
        <f>1%*('Bảng tính lãi vay'!$E$3-7000)</f>
        <v>780.21904925168303</v>
      </c>
      <c r="AR10" s="53">
        <f>1%*('Bảng tính lãi vay'!$E$3-7000)</f>
        <v>780.21904925168303</v>
      </c>
      <c r="AS10" s="53">
        <f>1%*('Bảng tính lãi vay'!$E$3-7000)</f>
        <v>780.21904925168303</v>
      </c>
      <c r="AT10" s="53">
        <f>1%*('Bảng tính lãi vay'!$E$3-7000)</f>
        <v>780.21904925168303</v>
      </c>
      <c r="AU10" s="53">
        <f>1%*('Bảng tính lãi vay'!$E$3-7000)</f>
        <v>780.21904925168303</v>
      </c>
      <c r="AV10" s="53">
        <f>5%*('Bảng tính lãi vay'!$E$3-7000)</f>
        <v>3901.0952462584155</v>
      </c>
      <c r="AW10" s="53">
        <f>1%*('Bảng tính lãi vay'!$E$3-7000)</f>
        <v>780.21904925168303</v>
      </c>
      <c r="AX10" s="53">
        <f>1%*('Bảng tính lãi vay'!$E$3-7000)</f>
        <v>780.21904925168303</v>
      </c>
      <c r="AY10" s="53">
        <f>1%*('Bảng tính lãi vay'!$E$3-7000)</f>
        <v>780.21904925168303</v>
      </c>
      <c r="AZ10" s="53">
        <f>1%*('Bảng tính lãi vay'!$E$3-7000)</f>
        <v>780.21904925168303</v>
      </c>
      <c r="BA10" s="53">
        <f>1%*('Bảng tính lãi vay'!$E$3-7000)</f>
        <v>780.21904925168303</v>
      </c>
      <c r="BB10" s="53">
        <f>1%*('Bảng tính lãi vay'!$E$3-7000)</f>
        <v>780.21904925168303</v>
      </c>
    </row>
    <row r="11" spans="1:54" ht="47.25">
      <c r="A11" s="49">
        <v>6</v>
      </c>
      <c r="B11" s="7" t="s">
        <v>81</v>
      </c>
      <c r="C11" s="4"/>
      <c r="D11" s="5">
        <v>3000</v>
      </c>
      <c r="E11" s="5">
        <f t="shared" si="4"/>
        <v>3150</v>
      </c>
      <c r="F11" s="5">
        <f t="shared" si="4"/>
        <v>3307.5</v>
      </c>
      <c r="G11" s="5">
        <f t="shared" si="4"/>
        <v>3472.875</v>
      </c>
      <c r="H11" s="5">
        <f t="shared" si="4"/>
        <v>3646.5187500000002</v>
      </c>
      <c r="I11" s="5">
        <f t="shared" si="4"/>
        <v>3828.8446875000004</v>
      </c>
      <c r="J11" s="5">
        <f t="shared" si="4"/>
        <v>4020.2869218750006</v>
      </c>
      <c r="K11" s="5">
        <f t="shared" si="4"/>
        <v>4221.3012679687508</v>
      </c>
      <c r="L11" s="5">
        <f t="shared" si="4"/>
        <v>4432.3663313671886</v>
      </c>
      <c r="M11" s="5">
        <f t="shared" si="4"/>
        <v>4653.9846479355483</v>
      </c>
      <c r="N11" s="5">
        <f t="shared" si="4"/>
        <v>4886.6838803323262</v>
      </c>
      <c r="O11" s="5">
        <f t="shared" si="4"/>
        <v>5131.0180743489427</v>
      </c>
      <c r="P11" s="5">
        <f t="shared" si="4"/>
        <v>5387.5689780663897</v>
      </c>
      <c r="Q11" s="5">
        <f t="shared" si="4"/>
        <v>5656.9474269697093</v>
      </c>
      <c r="R11" s="5">
        <f t="shared" si="4"/>
        <v>5939.7947983181948</v>
      </c>
      <c r="S11" s="5">
        <f t="shared" si="4"/>
        <v>6236.7845382341047</v>
      </c>
      <c r="T11" s="5">
        <f t="shared" si="4"/>
        <v>6548.6237651458105</v>
      </c>
      <c r="U11" s="5">
        <f t="shared" ref="U11:BB12" si="6">+T11*1.05</f>
        <v>6876.0549534031015</v>
      </c>
      <c r="V11" s="5">
        <f t="shared" si="6"/>
        <v>7219.857701073257</v>
      </c>
      <c r="W11" s="5">
        <f t="shared" si="6"/>
        <v>7580.8505861269205</v>
      </c>
      <c r="X11" s="5">
        <f t="shared" si="6"/>
        <v>7959.8931154332668</v>
      </c>
      <c r="Y11" s="5">
        <f t="shared" si="6"/>
        <v>8357.8877712049307</v>
      </c>
      <c r="Z11" s="5">
        <f t="shared" si="6"/>
        <v>8775.7821597651782</v>
      </c>
      <c r="AA11" s="5">
        <f t="shared" si="6"/>
        <v>9214.5712677534375</v>
      </c>
      <c r="AB11" s="5">
        <f t="shared" si="6"/>
        <v>9675.2998311411102</v>
      </c>
      <c r="AC11" s="5">
        <f t="shared" si="6"/>
        <v>10159.064822698167</v>
      </c>
      <c r="AD11" s="5">
        <f t="shared" si="6"/>
        <v>10667.018063833075</v>
      </c>
      <c r="AE11" s="5">
        <f t="shared" si="6"/>
        <v>11200.368967024729</v>
      </c>
      <c r="AF11" s="5">
        <f t="shared" si="6"/>
        <v>11760.387415375966</v>
      </c>
      <c r="AG11" s="5">
        <f t="shared" si="6"/>
        <v>12348.406786144766</v>
      </c>
      <c r="AH11" s="5">
        <f t="shared" si="6"/>
        <v>12965.827125452004</v>
      </c>
      <c r="AI11" s="5">
        <f t="shared" si="6"/>
        <v>13614.118481724605</v>
      </c>
      <c r="AJ11" s="5">
        <f t="shared" si="6"/>
        <v>14294.824405810836</v>
      </c>
      <c r="AK11" s="5">
        <f t="shared" si="6"/>
        <v>15009.565626101377</v>
      </c>
      <c r="AL11" s="5">
        <f t="shared" si="6"/>
        <v>15760.043907406447</v>
      </c>
      <c r="AM11" s="5">
        <f t="shared" si="6"/>
        <v>16548.046102776771</v>
      </c>
      <c r="AN11" s="5">
        <f t="shared" si="6"/>
        <v>17375.44840791561</v>
      </c>
      <c r="AO11" s="5">
        <f t="shared" si="6"/>
        <v>18244.220828311391</v>
      </c>
      <c r="AP11" s="5">
        <f t="shared" si="6"/>
        <v>19156.431869726959</v>
      </c>
      <c r="AQ11" s="5">
        <f t="shared" si="6"/>
        <v>20114.253463213307</v>
      </c>
      <c r="AR11" s="5">
        <f t="shared" si="6"/>
        <v>21119.966136373972</v>
      </c>
      <c r="AS11" s="5">
        <f t="shared" si="6"/>
        <v>22175.964443192672</v>
      </c>
      <c r="AT11" s="5">
        <f t="shared" si="6"/>
        <v>23284.762665352308</v>
      </c>
      <c r="AU11" s="5">
        <f t="shared" si="6"/>
        <v>24449.000798619923</v>
      </c>
      <c r="AV11" s="5">
        <f t="shared" si="6"/>
        <v>25671.450838550922</v>
      </c>
      <c r="AW11" s="5">
        <f t="shared" si="6"/>
        <v>26955.023380478469</v>
      </c>
      <c r="AX11" s="5">
        <f t="shared" si="6"/>
        <v>28302.774549502396</v>
      </c>
      <c r="AY11" s="5">
        <f t="shared" si="6"/>
        <v>29717.913276977517</v>
      </c>
      <c r="AZ11" s="5">
        <f t="shared" si="6"/>
        <v>31203.808940826395</v>
      </c>
      <c r="BA11" s="5">
        <f t="shared" si="6"/>
        <v>32763.999387867716</v>
      </c>
      <c r="BB11" s="5">
        <f t="shared" si="6"/>
        <v>34402.199357261103</v>
      </c>
    </row>
    <row r="12" spans="1:54" s="54" customFormat="1" ht="30" customHeight="1">
      <c r="A12" s="50">
        <v>7</v>
      </c>
      <c r="B12" s="51" t="s">
        <v>5</v>
      </c>
      <c r="C12" s="52"/>
      <c r="D12" s="53">
        <f>90*12</f>
        <v>1080</v>
      </c>
      <c r="E12" s="53">
        <f t="shared" si="4"/>
        <v>1134</v>
      </c>
      <c r="F12" s="53">
        <f t="shared" si="4"/>
        <v>1190.7</v>
      </c>
      <c r="G12" s="53">
        <f t="shared" si="4"/>
        <v>1250.2350000000001</v>
      </c>
      <c r="H12" s="53">
        <f t="shared" si="4"/>
        <v>1312.7467500000002</v>
      </c>
      <c r="I12" s="53">
        <f t="shared" si="4"/>
        <v>1378.3840875000003</v>
      </c>
      <c r="J12" s="53">
        <f t="shared" si="4"/>
        <v>1447.3032918750005</v>
      </c>
      <c r="K12" s="53">
        <f t="shared" si="4"/>
        <v>1519.6684564687505</v>
      </c>
      <c r="L12" s="53">
        <f t="shared" si="4"/>
        <v>1595.6518792921881</v>
      </c>
      <c r="M12" s="53">
        <f t="shared" si="4"/>
        <v>1675.4344732567977</v>
      </c>
      <c r="N12" s="53">
        <f t="shared" si="4"/>
        <v>1759.2061969196377</v>
      </c>
      <c r="O12" s="53">
        <f t="shared" si="4"/>
        <v>1847.1665067656197</v>
      </c>
      <c r="P12" s="53">
        <f t="shared" si="4"/>
        <v>1939.5248321039007</v>
      </c>
      <c r="Q12" s="53">
        <f t="shared" si="4"/>
        <v>2036.5010737090959</v>
      </c>
      <c r="R12" s="53">
        <f t="shared" si="4"/>
        <v>2138.3261273945509</v>
      </c>
      <c r="S12" s="53">
        <f t="shared" si="4"/>
        <v>2245.2424337642788</v>
      </c>
      <c r="T12" s="53">
        <f t="shared" si="4"/>
        <v>2357.5045554524927</v>
      </c>
      <c r="U12" s="53">
        <f t="shared" si="6"/>
        <v>2475.3797832251175</v>
      </c>
      <c r="V12" s="53">
        <f t="shared" si="6"/>
        <v>2599.1487723863734</v>
      </c>
      <c r="W12" s="53">
        <f t="shared" si="6"/>
        <v>2729.1062110056923</v>
      </c>
      <c r="X12" s="53">
        <f t="shared" si="6"/>
        <v>2865.5615215559769</v>
      </c>
      <c r="Y12" s="53">
        <f t="shared" si="6"/>
        <v>3008.8395976337761</v>
      </c>
      <c r="Z12" s="53">
        <f t="shared" si="6"/>
        <v>3159.281577515465</v>
      </c>
      <c r="AA12" s="53">
        <f t="shared" si="6"/>
        <v>3317.2456563912383</v>
      </c>
      <c r="AB12" s="53">
        <f t="shared" si="6"/>
        <v>3483.1079392108004</v>
      </c>
      <c r="AC12" s="53">
        <f t="shared" si="6"/>
        <v>3657.2633361713406</v>
      </c>
      <c r="AD12" s="53">
        <f t="shared" si="6"/>
        <v>3840.1265029799079</v>
      </c>
      <c r="AE12" s="53">
        <f t="shared" si="6"/>
        <v>4032.1328281289034</v>
      </c>
      <c r="AF12" s="53">
        <f t="shared" si="6"/>
        <v>4233.7394695353487</v>
      </c>
      <c r="AG12" s="53">
        <f t="shared" si="6"/>
        <v>4445.4264430121166</v>
      </c>
      <c r="AH12" s="53">
        <f t="shared" si="6"/>
        <v>4667.697765162723</v>
      </c>
      <c r="AI12" s="53">
        <f t="shared" si="6"/>
        <v>4901.0826534208591</v>
      </c>
      <c r="AJ12" s="53">
        <f t="shared" si="6"/>
        <v>5146.1367860919026</v>
      </c>
      <c r="AK12" s="53">
        <f t="shared" si="6"/>
        <v>5403.4436253964977</v>
      </c>
      <c r="AL12" s="53">
        <f t="shared" si="6"/>
        <v>5673.6158066663229</v>
      </c>
      <c r="AM12" s="53">
        <f t="shared" si="6"/>
        <v>5957.2965969996394</v>
      </c>
      <c r="AN12" s="53">
        <f t="shared" si="6"/>
        <v>6255.1614268496214</v>
      </c>
      <c r="AO12" s="53">
        <f t="shared" si="6"/>
        <v>6567.9194981921028</v>
      </c>
      <c r="AP12" s="53">
        <f t="shared" si="6"/>
        <v>6896.3154731017084</v>
      </c>
      <c r="AQ12" s="53">
        <f t="shared" si="6"/>
        <v>7241.1312467567941</v>
      </c>
      <c r="AR12" s="53">
        <f t="shared" si="6"/>
        <v>7603.1878090946338</v>
      </c>
      <c r="AS12" s="53">
        <f t="shared" si="6"/>
        <v>7983.3471995493655</v>
      </c>
      <c r="AT12" s="53">
        <f t="shared" si="6"/>
        <v>8382.514559526835</v>
      </c>
      <c r="AU12" s="53">
        <f t="shared" si="6"/>
        <v>8801.6402875031763</v>
      </c>
      <c r="AV12" s="53">
        <f t="shared" si="6"/>
        <v>9241.7223018783352</v>
      </c>
      <c r="AW12" s="53">
        <f t="shared" si="6"/>
        <v>9703.8084169722515</v>
      </c>
      <c r="AX12" s="53">
        <f t="shared" si="6"/>
        <v>10188.998837820864</v>
      </c>
      <c r="AY12" s="53">
        <f t="shared" si="6"/>
        <v>10698.448779711907</v>
      </c>
      <c r="AZ12" s="53">
        <f t="shared" si="6"/>
        <v>11233.371218697503</v>
      </c>
      <c r="BA12" s="53">
        <f t="shared" si="6"/>
        <v>11795.039779632378</v>
      </c>
      <c r="BB12" s="53">
        <f t="shared" si="6"/>
        <v>12384.791768613997</v>
      </c>
    </row>
    <row r="13" spans="1:54" s="10" customFormat="1">
      <c r="A13" s="8"/>
      <c r="B13" s="8" t="s">
        <v>18</v>
      </c>
      <c r="C13" s="8"/>
      <c r="D13" s="9" t="e">
        <f t="shared" ref="D13:BB13" si="7">SUM(D6:D12)</f>
        <v>#REF!</v>
      </c>
      <c r="E13" s="9" t="e">
        <f t="shared" si="7"/>
        <v>#REF!</v>
      </c>
      <c r="F13" s="9" t="e">
        <f t="shared" si="7"/>
        <v>#REF!</v>
      </c>
      <c r="G13" s="9" t="e">
        <f t="shared" si="7"/>
        <v>#REF!</v>
      </c>
      <c r="H13" s="9" t="e">
        <f t="shared" si="7"/>
        <v>#REF!</v>
      </c>
      <c r="I13" s="9" t="e">
        <f t="shared" si="7"/>
        <v>#REF!</v>
      </c>
      <c r="J13" s="9" t="e">
        <f t="shared" si="7"/>
        <v>#REF!</v>
      </c>
      <c r="K13" s="9" t="e">
        <f t="shared" si="7"/>
        <v>#REF!</v>
      </c>
      <c r="L13" s="9" t="e">
        <f t="shared" si="7"/>
        <v>#REF!</v>
      </c>
      <c r="M13" s="9" t="e">
        <f t="shared" si="7"/>
        <v>#REF!</v>
      </c>
      <c r="N13" s="9" t="e">
        <f t="shared" si="7"/>
        <v>#REF!</v>
      </c>
      <c r="O13" s="9" t="e">
        <f t="shared" si="7"/>
        <v>#REF!</v>
      </c>
      <c r="P13" s="9" t="e">
        <f t="shared" si="7"/>
        <v>#REF!</v>
      </c>
      <c r="Q13" s="9" t="e">
        <f t="shared" si="7"/>
        <v>#REF!</v>
      </c>
      <c r="R13" s="9" t="e">
        <f t="shared" si="7"/>
        <v>#REF!</v>
      </c>
      <c r="S13" s="9" t="e">
        <f t="shared" si="7"/>
        <v>#REF!</v>
      </c>
      <c r="T13" s="9" t="e">
        <f t="shared" si="7"/>
        <v>#REF!</v>
      </c>
      <c r="U13" s="9" t="e">
        <f t="shared" si="7"/>
        <v>#REF!</v>
      </c>
      <c r="V13" s="9" t="e">
        <f t="shared" si="7"/>
        <v>#REF!</v>
      </c>
      <c r="W13" s="9" t="e">
        <f t="shared" si="7"/>
        <v>#REF!</v>
      </c>
      <c r="X13" s="9" t="e">
        <f t="shared" si="7"/>
        <v>#REF!</v>
      </c>
      <c r="Y13" s="9" t="e">
        <f t="shared" si="7"/>
        <v>#REF!</v>
      </c>
      <c r="Z13" s="9" t="e">
        <f t="shared" si="7"/>
        <v>#REF!</v>
      </c>
      <c r="AA13" s="9" t="e">
        <f t="shared" si="7"/>
        <v>#REF!</v>
      </c>
      <c r="AB13" s="9" t="e">
        <f t="shared" si="7"/>
        <v>#REF!</v>
      </c>
      <c r="AC13" s="9" t="e">
        <f t="shared" si="7"/>
        <v>#REF!</v>
      </c>
      <c r="AD13" s="9" t="e">
        <f t="shared" si="7"/>
        <v>#REF!</v>
      </c>
      <c r="AE13" s="9" t="e">
        <f t="shared" si="7"/>
        <v>#REF!</v>
      </c>
      <c r="AF13" s="9" t="e">
        <f t="shared" si="7"/>
        <v>#REF!</v>
      </c>
      <c r="AG13" s="9" t="e">
        <f t="shared" si="7"/>
        <v>#REF!</v>
      </c>
      <c r="AH13" s="9" t="e">
        <f t="shared" si="7"/>
        <v>#REF!</v>
      </c>
      <c r="AI13" s="9" t="e">
        <f t="shared" si="7"/>
        <v>#REF!</v>
      </c>
      <c r="AJ13" s="9" t="e">
        <f t="shared" si="7"/>
        <v>#REF!</v>
      </c>
      <c r="AK13" s="9" t="e">
        <f t="shared" si="7"/>
        <v>#REF!</v>
      </c>
      <c r="AL13" s="9" t="e">
        <f t="shared" si="7"/>
        <v>#REF!</v>
      </c>
      <c r="AM13" s="9" t="e">
        <f t="shared" si="7"/>
        <v>#REF!</v>
      </c>
      <c r="AN13" s="9" t="e">
        <f t="shared" si="7"/>
        <v>#REF!</v>
      </c>
      <c r="AO13" s="9" t="e">
        <f t="shared" si="7"/>
        <v>#REF!</v>
      </c>
      <c r="AP13" s="9" t="e">
        <f t="shared" si="7"/>
        <v>#REF!</v>
      </c>
      <c r="AQ13" s="9" t="e">
        <f t="shared" si="7"/>
        <v>#REF!</v>
      </c>
      <c r="AR13" s="9" t="e">
        <f t="shared" si="7"/>
        <v>#REF!</v>
      </c>
      <c r="AS13" s="9" t="e">
        <f t="shared" si="7"/>
        <v>#REF!</v>
      </c>
      <c r="AT13" s="9" t="e">
        <f t="shared" si="7"/>
        <v>#REF!</v>
      </c>
      <c r="AU13" s="9" t="e">
        <f t="shared" si="7"/>
        <v>#REF!</v>
      </c>
      <c r="AV13" s="9" t="e">
        <f t="shared" si="7"/>
        <v>#REF!</v>
      </c>
      <c r="AW13" s="9" t="e">
        <f t="shared" si="7"/>
        <v>#REF!</v>
      </c>
      <c r="AX13" s="9" t="e">
        <f t="shared" si="7"/>
        <v>#REF!</v>
      </c>
      <c r="AY13" s="9" t="e">
        <f t="shared" si="7"/>
        <v>#REF!</v>
      </c>
      <c r="AZ13" s="9" t="e">
        <f t="shared" si="7"/>
        <v>#REF!</v>
      </c>
      <c r="BA13" s="9" t="e">
        <f t="shared" si="7"/>
        <v>#REF!</v>
      </c>
      <c r="BB13" s="9" t="e">
        <f t="shared" si="7"/>
        <v>#REF!</v>
      </c>
    </row>
    <row r="21" spans="7:7" ht="30" customHeight="1">
      <c r="G21" s="1">
        <v>2021</v>
      </c>
    </row>
    <row r="22" spans="7:7" ht="30" customHeight="1">
      <c r="G22" s="1">
        <v>2007</v>
      </c>
    </row>
    <row r="23" spans="7:7" ht="30" customHeight="1">
      <c r="G23" s="1">
        <f>G21-G22</f>
        <v>14</v>
      </c>
    </row>
  </sheetData>
  <mergeCells count="4">
    <mergeCell ref="A2:AS2"/>
    <mergeCell ref="A4:A5"/>
    <mergeCell ref="B4:B5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0"/>
  <sheetViews>
    <sheetView topLeftCell="A4" zoomScale="85" zoomScaleNormal="85" workbookViewId="0">
      <selection activeCell="D12" sqref="D12"/>
    </sheetView>
  </sheetViews>
  <sheetFormatPr defaultColWidth="9.140625" defaultRowHeight="30" customHeight="1"/>
  <cols>
    <col min="1" max="1" width="9.140625" style="1"/>
    <col min="2" max="2" width="49" style="1" customWidth="1"/>
    <col min="3" max="53" width="15.7109375" style="1" customWidth="1"/>
    <col min="54" max="16384" width="9.140625" style="1"/>
  </cols>
  <sheetData>
    <row r="1" spans="1:53" ht="30" customHeight="1">
      <c r="B1" s="79" t="s">
        <v>75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</row>
    <row r="2" spans="1:53" ht="30" hidden="1" customHeight="1">
      <c r="C2" s="18">
        <v>0.1</v>
      </c>
      <c r="G2" s="2">
        <v>400000</v>
      </c>
    </row>
    <row r="3" spans="1:53" ht="30" hidden="1" customHeight="1"/>
    <row r="4" spans="1:53" s="10" customFormat="1" ht="24.75" customHeight="1">
      <c r="A4" s="35" t="s">
        <v>0</v>
      </c>
      <c r="B4" s="35" t="s">
        <v>1</v>
      </c>
      <c r="C4" s="35" t="s">
        <v>2</v>
      </c>
      <c r="D4" s="35" t="s">
        <v>20</v>
      </c>
      <c r="E4" s="35" t="s">
        <v>14</v>
      </c>
      <c r="F4" s="35" t="s">
        <v>15</v>
      </c>
      <c r="G4" s="35" t="s">
        <v>9</v>
      </c>
      <c r="H4" s="35" t="s">
        <v>10</v>
      </c>
      <c r="I4" s="35" t="s">
        <v>13</v>
      </c>
      <c r="J4" s="35" t="s">
        <v>11</v>
      </c>
      <c r="K4" s="35" t="s">
        <v>12</v>
      </c>
      <c r="L4" s="35" t="s">
        <v>21</v>
      </c>
      <c r="M4" s="35" t="s">
        <v>24</v>
      </c>
      <c r="N4" s="35" t="s">
        <v>25</v>
      </c>
      <c r="O4" s="35" t="s">
        <v>26</v>
      </c>
      <c r="P4" s="35" t="s">
        <v>27</v>
      </c>
      <c r="Q4" s="35" t="s">
        <v>28</v>
      </c>
      <c r="R4" s="35" t="s">
        <v>29</v>
      </c>
      <c r="S4" s="35" t="s">
        <v>30</v>
      </c>
      <c r="T4" s="35" t="s">
        <v>31</v>
      </c>
      <c r="U4" s="35" t="s">
        <v>32</v>
      </c>
      <c r="V4" s="35" t="s">
        <v>33</v>
      </c>
      <c r="W4" s="35" t="s">
        <v>34</v>
      </c>
      <c r="X4" s="35" t="s">
        <v>35</v>
      </c>
      <c r="Y4" s="35" t="s">
        <v>36</v>
      </c>
      <c r="Z4" s="35" t="s">
        <v>37</v>
      </c>
      <c r="AA4" s="35" t="s">
        <v>38</v>
      </c>
      <c r="AB4" s="35" t="s">
        <v>39</v>
      </c>
      <c r="AC4" s="35" t="s">
        <v>40</v>
      </c>
      <c r="AD4" s="35" t="s">
        <v>41</v>
      </c>
      <c r="AE4" s="35" t="s">
        <v>42</v>
      </c>
      <c r="AF4" s="35" t="s">
        <v>43</v>
      </c>
      <c r="AG4" s="35" t="s">
        <v>44</v>
      </c>
      <c r="AH4" s="35" t="s">
        <v>45</v>
      </c>
      <c r="AI4" s="35" t="s">
        <v>46</v>
      </c>
      <c r="AJ4" s="35" t="s">
        <v>47</v>
      </c>
      <c r="AK4" s="35" t="s">
        <v>48</v>
      </c>
      <c r="AL4" s="35" t="s">
        <v>49</v>
      </c>
      <c r="AM4" s="35" t="s">
        <v>50</v>
      </c>
      <c r="AN4" s="35" t="s">
        <v>51</v>
      </c>
      <c r="AO4" s="35" t="s">
        <v>52</v>
      </c>
      <c r="AP4" s="35" t="s">
        <v>53</v>
      </c>
      <c r="AQ4" s="35" t="s">
        <v>54</v>
      </c>
      <c r="AR4" s="35" t="s">
        <v>55</v>
      </c>
      <c r="AS4" s="35" t="s">
        <v>56</v>
      </c>
      <c r="AT4" s="35" t="s">
        <v>84</v>
      </c>
      <c r="AU4" s="35" t="s">
        <v>85</v>
      </c>
      <c r="AV4" s="35" t="s">
        <v>86</v>
      </c>
      <c r="AW4" s="35" t="s">
        <v>87</v>
      </c>
      <c r="AX4" s="35" t="s">
        <v>88</v>
      </c>
      <c r="AY4" s="35" t="s">
        <v>89</v>
      </c>
      <c r="AZ4" s="35" t="s">
        <v>90</v>
      </c>
      <c r="BA4" s="35" t="s">
        <v>91</v>
      </c>
    </row>
    <row r="5" spans="1:53" ht="23.25" customHeight="1">
      <c r="A5" s="6"/>
      <c r="B5" s="6"/>
      <c r="C5" s="6">
        <v>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6">
        <v>17</v>
      </c>
      <c r="U5" s="6">
        <v>18</v>
      </c>
      <c r="V5" s="6">
        <v>19</v>
      </c>
      <c r="W5" s="6">
        <v>20</v>
      </c>
      <c r="X5" s="6">
        <v>21</v>
      </c>
      <c r="Y5" s="6">
        <v>22</v>
      </c>
      <c r="Z5" s="6">
        <v>23</v>
      </c>
      <c r="AA5" s="6">
        <v>24</v>
      </c>
      <c r="AB5" s="6">
        <v>25</v>
      </c>
      <c r="AC5" s="6">
        <v>26</v>
      </c>
      <c r="AD5" s="6">
        <v>27</v>
      </c>
      <c r="AE5" s="6">
        <v>28</v>
      </c>
      <c r="AF5" s="6">
        <v>29</v>
      </c>
      <c r="AG5" s="6">
        <v>30</v>
      </c>
      <c r="AH5" s="6">
        <v>31</v>
      </c>
      <c r="AI5" s="6">
        <v>32</v>
      </c>
      <c r="AJ5" s="6">
        <v>33</v>
      </c>
      <c r="AK5" s="6">
        <v>34</v>
      </c>
      <c r="AL5" s="6">
        <v>35</v>
      </c>
      <c r="AM5" s="6">
        <v>36</v>
      </c>
      <c r="AN5" s="6">
        <v>37</v>
      </c>
      <c r="AO5" s="6">
        <v>38</v>
      </c>
      <c r="AP5" s="6">
        <v>39</v>
      </c>
      <c r="AQ5" s="6">
        <v>40</v>
      </c>
      <c r="AR5" s="6">
        <v>41</v>
      </c>
      <c r="AS5" s="6">
        <v>42</v>
      </c>
      <c r="AT5" s="49">
        <v>43</v>
      </c>
      <c r="AU5" s="49">
        <v>44</v>
      </c>
      <c r="AV5" s="49">
        <v>45</v>
      </c>
      <c r="AW5" s="49">
        <v>46</v>
      </c>
      <c r="AX5" s="49">
        <v>47</v>
      </c>
      <c r="AY5" s="49">
        <v>48</v>
      </c>
      <c r="AZ5" s="49">
        <v>49</v>
      </c>
      <c r="BA5" s="49">
        <v>50</v>
      </c>
    </row>
    <row r="6" spans="1:53" ht="24.95" customHeight="1">
      <c r="A6" s="6">
        <v>1</v>
      </c>
      <c r="B6" s="38" t="s">
        <v>61</v>
      </c>
      <c r="C6" s="80">
        <f>+'Bảng tính lãi vay'!E3</f>
        <v>85021.904925168303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</row>
    <row r="7" spans="1:53" ht="24.95" customHeight="1">
      <c r="A7" s="6">
        <v>2</v>
      </c>
      <c r="B7" s="39" t="s">
        <v>3</v>
      </c>
      <c r="C7" s="82"/>
      <c r="D7" s="80" t="e">
        <f t="shared" ref="D7:AI7" si="0">+D8+D9</f>
        <v>#REF!</v>
      </c>
      <c r="E7" s="80" t="e">
        <f t="shared" si="0"/>
        <v>#REF!</v>
      </c>
      <c r="F7" s="80" t="e">
        <f t="shared" si="0"/>
        <v>#REF!</v>
      </c>
      <c r="G7" s="80" t="e">
        <f t="shared" si="0"/>
        <v>#REF!</v>
      </c>
      <c r="H7" s="80" t="e">
        <f t="shared" si="0"/>
        <v>#REF!</v>
      </c>
      <c r="I7" s="80" t="e">
        <f t="shared" si="0"/>
        <v>#REF!</v>
      </c>
      <c r="J7" s="80" t="e">
        <f t="shared" si="0"/>
        <v>#REF!</v>
      </c>
      <c r="K7" s="80" t="e">
        <f t="shared" si="0"/>
        <v>#REF!</v>
      </c>
      <c r="L7" s="80" t="e">
        <f t="shared" si="0"/>
        <v>#REF!</v>
      </c>
      <c r="M7" s="80" t="e">
        <f t="shared" si="0"/>
        <v>#REF!</v>
      </c>
      <c r="N7" s="80" t="e">
        <f t="shared" si="0"/>
        <v>#REF!</v>
      </c>
      <c r="O7" s="80" t="e">
        <f t="shared" si="0"/>
        <v>#REF!</v>
      </c>
      <c r="P7" s="80" t="e">
        <f t="shared" si="0"/>
        <v>#REF!</v>
      </c>
      <c r="Q7" s="80" t="e">
        <f t="shared" si="0"/>
        <v>#REF!</v>
      </c>
      <c r="R7" s="80" t="e">
        <f t="shared" si="0"/>
        <v>#REF!</v>
      </c>
      <c r="S7" s="80" t="e">
        <f t="shared" si="0"/>
        <v>#REF!</v>
      </c>
      <c r="T7" s="80" t="e">
        <f t="shared" si="0"/>
        <v>#REF!</v>
      </c>
      <c r="U7" s="80" t="e">
        <f t="shared" si="0"/>
        <v>#REF!</v>
      </c>
      <c r="V7" s="80" t="e">
        <f t="shared" si="0"/>
        <v>#REF!</v>
      </c>
      <c r="W7" s="80" t="e">
        <f t="shared" si="0"/>
        <v>#REF!</v>
      </c>
      <c r="X7" s="80" t="e">
        <f t="shared" si="0"/>
        <v>#REF!</v>
      </c>
      <c r="Y7" s="80" t="e">
        <f t="shared" si="0"/>
        <v>#REF!</v>
      </c>
      <c r="Z7" s="80" t="e">
        <f t="shared" si="0"/>
        <v>#REF!</v>
      </c>
      <c r="AA7" s="80" t="e">
        <f t="shared" si="0"/>
        <v>#REF!</v>
      </c>
      <c r="AB7" s="80" t="e">
        <f t="shared" si="0"/>
        <v>#REF!</v>
      </c>
      <c r="AC7" s="80" t="e">
        <f t="shared" si="0"/>
        <v>#REF!</v>
      </c>
      <c r="AD7" s="80" t="e">
        <f t="shared" si="0"/>
        <v>#REF!</v>
      </c>
      <c r="AE7" s="80" t="e">
        <f t="shared" si="0"/>
        <v>#REF!</v>
      </c>
      <c r="AF7" s="80" t="e">
        <f t="shared" si="0"/>
        <v>#REF!</v>
      </c>
      <c r="AG7" s="80" t="e">
        <f t="shared" si="0"/>
        <v>#REF!</v>
      </c>
      <c r="AH7" s="80" t="e">
        <f t="shared" si="0"/>
        <v>#REF!</v>
      </c>
      <c r="AI7" s="80" t="e">
        <f t="shared" si="0"/>
        <v>#REF!</v>
      </c>
      <c r="AJ7" s="80" t="e">
        <f t="shared" ref="AJ7:BA7" si="1">+AJ8+AJ9</f>
        <v>#REF!</v>
      </c>
      <c r="AK7" s="80" t="e">
        <f t="shared" si="1"/>
        <v>#REF!</v>
      </c>
      <c r="AL7" s="80" t="e">
        <f t="shared" si="1"/>
        <v>#REF!</v>
      </c>
      <c r="AM7" s="80" t="e">
        <f t="shared" si="1"/>
        <v>#REF!</v>
      </c>
      <c r="AN7" s="80" t="e">
        <f t="shared" si="1"/>
        <v>#REF!</v>
      </c>
      <c r="AO7" s="80" t="e">
        <f t="shared" si="1"/>
        <v>#REF!</v>
      </c>
      <c r="AP7" s="80" t="e">
        <f t="shared" si="1"/>
        <v>#REF!</v>
      </c>
      <c r="AQ7" s="80" t="e">
        <f t="shared" si="1"/>
        <v>#REF!</v>
      </c>
      <c r="AR7" s="80" t="e">
        <f t="shared" si="1"/>
        <v>#REF!</v>
      </c>
      <c r="AS7" s="80" t="e">
        <f t="shared" si="1"/>
        <v>#REF!</v>
      </c>
      <c r="AT7" s="80" t="e">
        <f t="shared" si="1"/>
        <v>#REF!</v>
      </c>
      <c r="AU7" s="80" t="e">
        <f t="shared" si="1"/>
        <v>#REF!</v>
      </c>
      <c r="AV7" s="80" t="e">
        <f t="shared" si="1"/>
        <v>#REF!</v>
      </c>
      <c r="AW7" s="80" t="e">
        <f t="shared" si="1"/>
        <v>#REF!</v>
      </c>
      <c r="AX7" s="80" t="e">
        <f t="shared" si="1"/>
        <v>#REF!</v>
      </c>
      <c r="AY7" s="80" t="e">
        <f t="shared" si="1"/>
        <v>#REF!</v>
      </c>
      <c r="AZ7" s="80" t="e">
        <f t="shared" si="1"/>
        <v>#REF!</v>
      </c>
      <c r="BA7" s="80" t="e">
        <f t="shared" si="1"/>
        <v>#REF!</v>
      </c>
    </row>
    <row r="8" spans="1:53" ht="71.25" customHeight="1">
      <c r="A8" s="6" t="s">
        <v>4</v>
      </c>
      <c r="B8" s="40" t="s">
        <v>97</v>
      </c>
      <c r="C8" s="81"/>
      <c r="D8" s="80" t="e">
        <f>#REF!/1000000*0.6</f>
        <v>#REF!</v>
      </c>
      <c r="E8" s="80" t="e">
        <f>#REF!/1000000*0.6</f>
        <v>#REF!</v>
      </c>
      <c r="F8" s="80" t="e">
        <f>#REF!/1000000*0.95</f>
        <v>#REF!</v>
      </c>
      <c r="G8" s="80" t="e">
        <f t="shared" ref="G8:J8" si="2">+F8*1.05</f>
        <v>#REF!</v>
      </c>
      <c r="H8" s="80" t="e">
        <f>+G8</f>
        <v>#REF!</v>
      </c>
      <c r="I8" s="80" t="e">
        <f>+H8</f>
        <v>#REF!</v>
      </c>
      <c r="J8" s="80" t="e">
        <f t="shared" si="2"/>
        <v>#REF!</v>
      </c>
      <c r="K8" s="80" t="e">
        <f t="shared" ref="K8:L8" si="3">+J8</f>
        <v>#REF!</v>
      </c>
      <c r="L8" s="80" t="e">
        <f t="shared" si="3"/>
        <v>#REF!</v>
      </c>
      <c r="M8" s="80" t="e">
        <f t="shared" ref="M8" si="4">+L8*1.05</f>
        <v>#REF!</v>
      </c>
      <c r="N8" s="80" t="e">
        <f t="shared" ref="N8:O8" si="5">+M8</f>
        <v>#REF!</v>
      </c>
      <c r="O8" s="80" t="e">
        <f t="shared" si="5"/>
        <v>#REF!</v>
      </c>
      <c r="P8" s="80" t="e">
        <f t="shared" ref="P8" si="6">+O8*1.05</f>
        <v>#REF!</v>
      </c>
      <c r="Q8" s="80" t="e">
        <f t="shared" ref="Q8:R8" si="7">+P8</f>
        <v>#REF!</v>
      </c>
      <c r="R8" s="80" t="e">
        <f t="shared" si="7"/>
        <v>#REF!</v>
      </c>
      <c r="S8" s="80" t="e">
        <f t="shared" ref="S8" si="8">+R8*1.05</f>
        <v>#REF!</v>
      </c>
      <c r="T8" s="80" t="e">
        <f t="shared" ref="T8:U8" si="9">+S8</f>
        <v>#REF!</v>
      </c>
      <c r="U8" s="80" t="e">
        <f t="shared" si="9"/>
        <v>#REF!</v>
      </c>
      <c r="V8" s="80" t="e">
        <f t="shared" ref="V8" si="10">+U8*1.05</f>
        <v>#REF!</v>
      </c>
      <c r="W8" s="80" t="e">
        <f t="shared" ref="W8:X8" si="11">+V8</f>
        <v>#REF!</v>
      </c>
      <c r="X8" s="80" t="e">
        <f t="shared" si="11"/>
        <v>#REF!</v>
      </c>
      <c r="Y8" s="80" t="e">
        <f t="shared" ref="Y8" si="12">+X8*1.05</f>
        <v>#REF!</v>
      </c>
      <c r="Z8" s="80" t="e">
        <f t="shared" ref="Z8:AA8" si="13">+Y8</f>
        <v>#REF!</v>
      </c>
      <c r="AA8" s="80" t="e">
        <f t="shared" si="13"/>
        <v>#REF!</v>
      </c>
      <c r="AB8" s="80" t="e">
        <f t="shared" ref="AB8" si="14">+AA8*1.05</f>
        <v>#REF!</v>
      </c>
      <c r="AC8" s="80" t="e">
        <f t="shared" ref="AC8:AD8" si="15">+AB8</f>
        <v>#REF!</v>
      </c>
      <c r="AD8" s="80" t="e">
        <f t="shared" si="15"/>
        <v>#REF!</v>
      </c>
      <c r="AE8" s="80" t="e">
        <f t="shared" ref="AE8" si="16">+AD8*1.05</f>
        <v>#REF!</v>
      </c>
      <c r="AF8" s="80" t="e">
        <f t="shared" ref="AF8:AG8" si="17">+AE8</f>
        <v>#REF!</v>
      </c>
      <c r="AG8" s="80" t="e">
        <f t="shared" si="17"/>
        <v>#REF!</v>
      </c>
      <c r="AH8" s="80" t="e">
        <f t="shared" ref="AH8" si="18">+AG8*1.05</f>
        <v>#REF!</v>
      </c>
      <c r="AI8" s="80" t="e">
        <f t="shared" ref="AI8:AJ8" si="19">+AH8</f>
        <v>#REF!</v>
      </c>
      <c r="AJ8" s="80" t="e">
        <f t="shared" si="19"/>
        <v>#REF!</v>
      </c>
      <c r="AK8" s="80" t="e">
        <f t="shared" ref="AK8" si="20">+AJ8*1.05</f>
        <v>#REF!</v>
      </c>
      <c r="AL8" s="80" t="e">
        <f t="shared" ref="AL8:AM8" si="21">+AK8</f>
        <v>#REF!</v>
      </c>
      <c r="AM8" s="80" t="e">
        <f t="shared" si="21"/>
        <v>#REF!</v>
      </c>
      <c r="AN8" s="80" t="e">
        <f t="shared" ref="AN8" si="22">+AM8*1.05</f>
        <v>#REF!</v>
      </c>
      <c r="AO8" s="80" t="e">
        <f t="shared" ref="AO8:AP8" si="23">+AN8</f>
        <v>#REF!</v>
      </c>
      <c r="AP8" s="80" t="e">
        <f t="shared" si="23"/>
        <v>#REF!</v>
      </c>
      <c r="AQ8" s="80" t="e">
        <f t="shared" ref="AQ8" si="24">+AP8*1.05</f>
        <v>#REF!</v>
      </c>
      <c r="AR8" s="80" t="e">
        <f t="shared" ref="AR8:AS8" si="25">+AQ8</f>
        <v>#REF!</v>
      </c>
      <c r="AS8" s="80" t="e">
        <f t="shared" si="25"/>
        <v>#REF!</v>
      </c>
      <c r="AT8" s="80" t="e">
        <f t="shared" ref="AT8" si="26">+AS8*1.05</f>
        <v>#REF!</v>
      </c>
      <c r="AU8" s="80" t="e">
        <f t="shared" ref="AU8:AV8" si="27">+AT8</f>
        <v>#REF!</v>
      </c>
      <c r="AV8" s="80" t="e">
        <f t="shared" si="27"/>
        <v>#REF!</v>
      </c>
      <c r="AW8" s="80" t="e">
        <f t="shared" ref="AW8" si="28">+AV8*1.05</f>
        <v>#REF!</v>
      </c>
      <c r="AX8" s="80" t="e">
        <f t="shared" ref="AX8:AY8" si="29">+AW8</f>
        <v>#REF!</v>
      </c>
      <c r="AY8" s="80" t="e">
        <f t="shared" si="29"/>
        <v>#REF!</v>
      </c>
      <c r="AZ8" s="80" t="e">
        <f t="shared" ref="AZ8" si="30">+AY8*1.05</f>
        <v>#REF!</v>
      </c>
      <c r="BA8" s="80" t="e">
        <f t="shared" ref="BA8" si="31">+AZ8</f>
        <v>#REF!</v>
      </c>
    </row>
    <row r="9" spans="1:53" ht="24.95" customHeight="1">
      <c r="A9" s="6"/>
      <c r="B9" s="40"/>
      <c r="C9" s="81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53" ht="24.95" customHeight="1">
      <c r="A10" s="6">
        <v>3</v>
      </c>
      <c r="B10" s="41" t="s">
        <v>58</v>
      </c>
      <c r="C10" s="82"/>
      <c r="D10" s="80">
        <f>+'Bảng tính chi phí'!D12</f>
        <v>0</v>
      </c>
      <c r="E10" s="80">
        <f>+'Bảng tính chi phí'!E12</f>
        <v>0</v>
      </c>
      <c r="F10" s="80">
        <f>+'Bảng tính chi phí'!F12</f>
        <v>75.283380000000008</v>
      </c>
      <c r="G10" s="80">
        <f>+'Bảng tính chi phí'!G12</f>
        <v>150.56676000000002</v>
      </c>
      <c r="H10" s="80">
        <f>+'Bảng tính chi phí'!H12</f>
        <v>150.56676000000002</v>
      </c>
      <c r="I10" s="80" t="e">
        <f>+'Bảng tính chi phí'!#REF!</f>
        <v>#REF!</v>
      </c>
      <c r="J10" s="80" t="e">
        <f>+'Bảng tính chi phí'!#REF!</f>
        <v>#REF!</v>
      </c>
      <c r="K10" s="80" t="e">
        <f>+'Bảng tính chi phí'!#REF!</f>
        <v>#REF!</v>
      </c>
      <c r="L10" s="80" t="e">
        <f>+'Bảng tính chi phí'!#REF!</f>
        <v>#REF!</v>
      </c>
      <c r="M10" s="80" t="e">
        <f>+'Bảng tính chi phí'!#REF!</f>
        <v>#REF!</v>
      </c>
      <c r="N10" s="80" t="e">
        <f>+'Bảng tính chi phí'!#REF!</f>
        <v>#REF!</v>
      </c>
      <c r="O10" s="80" t="e">
        <f>+'Bảng tính chi phí'!#REF!</f>
        <v>#REF!</v>
      </c>
      <c r="P10" s="80" t="e">
        <f>+'Bảng tính chi phí'!#REF!</f>
        <v>#REF!</v>
      </c>
      <c r="Q10" s="80" t="e">
        <f>+'Bảng tính chi phí'!#REF!</f>
        <v>#REF!</v>
      </c>
      <c r="R10" s="80" t="e">
        <f>+'Bảng tính chi phí'!#REF!</f>
        <v>#REF!</v>
      </c>
      <c r="S10" s="80" t="e">
        <f>+'Bảng tính chi phí'!#REF!</f>
        <v>#REF!</v>
      </c>
      <c r="T10" s="80" t="e">
        <f>+'Bảng tính chi phí'!#REF!</f>
        <v>#REF!</v>
      </c>
      <c r="U10" s="80" t="e">
        <f>+'Bảng tính chi phí'!#REF!</f>
        <v>#REF!</v>
      </c>
      <c r="V10" s="80" t="e">
        <f>+'Bảng tính chi phí'!#REF!</f>
        <v>#REF!</v>
      </c>
      <c r="W10" s="80" t="e">
        <f>+'Bảng tính chi phí'!#REF!</f>
        <v>#REF!</v>
      </c>
      <c r="X10" s="80" t="e">
        <f>+'Bảng tính chi phí'!#REF!</f>
        <v>#REF!</v>
      </c>
      <c r="Y10" s="80" t="e">
        <f>+'Bảng tính chi phí'!#REF!</f>
        <v>#REF!</v>
      </c>
      <c r="Z10" s="80" t="e">
        <f>+'Bảng tính chi phí'!#REF!</f>
        <v>#REF!</v>
      </c>
      <c r="AA10" s="80" t="e">
        <f>+'Bảng tính chi phí'!#REF!</f>
        <v>#REF!</v>
      </c>
      <c r="AB10" s="80" t="e">
        <f>+'Bảng tính chi phí'!#REF!</f>
        <v>#REF!</v>
      </c>
      <c r="AC10" s="80" t="e">
        <f>+'Bảng tính chi phí'!#REF!</f>
        <v>#REF!</v>
      </c>
      <c r="AD10" s="80" t="e">
        <f>+'Bảng tính chi phí'!#REF!</f>
        <v>#REF!</v>
      </c>
      <c r="AE10" s="80" t="e">
        <f>+'Bảng tính chi phí'!#REF!</f>
        <v>#REF!</v>
      </c>
      <c r="AF10" s="80" t="e">
        <f>+'Bảng tính chi phí'!#REF!</f>
        <v>#REF!</v>
      </c>
      <c r="AG10" s="80" t="e">
        <f>+'Bảng tính chi phí'!#REF!</f>
        <v>#REF!</v>
      </c>
      <c r="AH10" s="80" t="e">
        <f>+'Bảng tính chi phí'!#REF!</f>
        <v>#REF!</v>
      </c>
      <c r="AI10" s="80" t="e">
        <f>+'Bảng tính chi phí'!#REF!</f>
        <v>#REF!</v>
      </c>
      <c r="AJ10" s="80" t="e">
        <f>+'Bảng tính chi phí'!#REF!</f>
        <v>#REF!</v>
      </c>
      <c r="AK10" s="80" t="e">
        <f>+'Bảng tính chi phí'!#REF!</f>
        <v>#REF!</v>
      </c>
      <c r="AL10" s="80" t="e">
        <f>+'Bảng tính chi phí'!#REF!</f>
        <v>#REF!</v>
      </c>
      <c r="AM10" s="80" t="e">
        <f>+'Bảng tính chi phí'!#REF!</f>
        <v>#REF!</v>
      </c>
      <c r="AN10" s="80" t="e">
        <f>+'Bảng tính chi phí'!#REF!</f>
        <v>#REF!</v>
      </c>
      <c r="AO10" s="80" t="e">
        <f>+'Bảng tính chi phí'!#REF!</f>
        <v>#REF!</v>
      </c>
      <c r="AP10" s="80" t="e">
        <f>+'Bảng tính chi phí'!#REF!</f>
        <v>#REF!</v>
      </c>
      <c r="AQ10" s="80" t="e">
        <f>+'Bảng tính chi phí'!#REF!</f>
        <v>#REF!</v>
      </c>
      <c r="AR10" s="80" t="e">
        <f>+'Bảng tính chi phí'!#REF!</f>
        <v>#REF!</v>
      </c>
      <c r="AS10" s="80" t="e">
        <f>+'Bảng tính chi phí'!#REF!</f>
        <v>#REF!</v>
      </c>
      <c r="AT10" s="80" t="e">
        <f>+'Bảng tính chi phí'!#REF!</f>
        <v>#REF!</v>
      </c>
      <c r="AU10" s="80" t="e">
        <f>+'Bảng tính chi phí'!#REF!</f>
        <v>#REF!</v>
      </c>
      <c r="AV10" s="80" t="e">
        <f>+'Bảng tính chi phí'!#REF!</f>
        <v>#REF!</v>
      </c>
      <c r="AW10" s="80" t="e">
        <f>+'Bảng tính chi phí'!#REF!</f>
        <v>#REF!</v>
      </c>
      <c r="AX10" s="80" t="e">
        <f>+'Bảng tính chi phí'!#REF!</f>
        <v>#REF!</v>
      </c>
      <c r="AY10" s="80" t="e">
        <f>+'Bảng tính chi phí'!#REF!</f>
        <v>#REF!</v>
      </c>
      <c r="AZ10" s="80" t="e">
        <f>+'Bảng tính chi phí'!#REF!</f>
        <v>#REF!</v>
      </c>
      <c r="BA10" s="80" t="e">
        <f>+'Bảng tính chi phí'!#REF!</f>
        <v>#REF!</v>
      </c>
    </row>
    <row r="11" spans="1:53" ht="24.95" customHeight="1">
      <c r="A11" s="6">
        <v>4</v>
      </c>
      <c r="B11" s="41" t="s">
        <v>60</v>
      </c>
      <c r="C11" s="82"/>
      <c r="D11" s="80">
        <f>+'Bảng tính lãi vay'!E11</f>
        <v>5781.4895349114458</v>
      </c>
      <c r="E11" s="80">
        <f>+'Bảng tính lãi vay'!E12</f>
        <v>4625.1916279291563</v>
      </c>
      <c r="F11" s="80">
        <f>+'Bảng tính lãi vay'!E13</f>
        <v>3468.8937209468677</v>
      </c>
      <c r="G11" s="80">
        <f>+'Bảng tính lãi vay'!E14</f>
        <v>2312.5958139645786</v>
      </c>
      <c r="H11" s="80">
        <f>+'Bảng tính lãi vay'!E15</f>
        <v>1156.2979069822895</v>
      </c>
      <c r="I11" s="80">
        <f>+'Bảng tính lãi vay'!E16</f>
        <v>3.0922819860279562E-13</v>
      </c>
      <c r="J11" s="80">
        <f>+'Bảng tính lãi vay'!E17</f>
        <v>-1156.2979069822889</v>
      </c>
      <c r="K11" s="80">
        <f>+'Bảng tính lãi vay'!E18</f>
        <v>-2312.5958139645782</v>
      </c>
      <c r="L11" s="80">
        <f>+'Bảng tính lãi vay'!E19</f>
        <v>-3468.8937209468672</v>
      </c>
      <c r="M11" s="80">
        <f>+'Bảng tính lãi vay'!E20</f>
        <v>-4625.1916279291563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53" ht="24.95" customHeight="1">
      <c r="A12" s="6">
        <v>5</v>
      </c>
      <c r="B12" s="41" t="s">
        <v>94</v>
      </c>
      <c r="C12" s="83"/>
      <c r="D12" s="84">
        <f>'Bảng tính lãi vay'!$E$3/50</f>
        <v>1700.4380985033661</v>
      </c>
      <c r="E12" s="84">
        <f>'Bảng tính lãi vay'!$E$3/50</f>
        <v>1700.4380985033661</v>
      </c>
      <c r="F12" s="84">
        <f>'Bảng tính lãi vay'!$E$3/50</f>
        <v>1700.4380985033661</v>
      </c>
      <c r="G12" s="84">
        <f>'Bảng tính lãi vay'!$E$3/50</f>
        <v>1700.4380985033661</v>
      </c>
      <c r="H12" s="84">
        <f>'Bảng tính lãi vay'!$E$3/50</f>
        <v>1700.4380985033661</v>
      </c>
      <c r="I12" s="84">
        <f>'Bảng tính lãi vay'!$E$3/50</f>
        <v>1700.4380985033661</v>
      </c>
      <c r="J12" s="84">
        <f>'Bảng tính lãi vay'!$E$3/50</f>
        <v>1700.4380985033661</v>
      </c>
      <c r="K12" s="84">
        <f>'Bảng tính lãi vay'!$E$3/50</f>
        <v>1700.4380985033661</v>
      </c>
      <c r="L12" s="84">
        <f>'Bảng tính lãi vay'!$E$3/50</f>
        <v>1700.4380985033661</v>
      </c>
      <c r="M12" s="84">
        <f>'Bảng tính lãi vay'!$E$3/50</f>
        <v>1700.4380985033661</v>
      </c>
      <c r="N12" s="84">
        <f>'Bảng tính lãi vay'!$E$3/50</f>
        <v>1700.4380985033661</v>
      </c>
      <c r="O12" s="84">
        <f>'Bảng tính lãi vay'!$E$3/50</f>
        <v>1700.4380985033661</v>
      </c>
      <c r="P12" s="84">
        <f>'Bảng tính lãi vay'!$E$3/50</f>
        <v>1700.4380985033661</v>
      </c>
      <c r="Q12" s="84">
        <f>'Bảng tính lãi vay'!$E$3/50</f>
        <v>1700.4380985033661</v>
      </c>
      <c r="R12" s="84">
        <f>'Bảng tính lãi vay'!$E$3/50</f>
        <v>1700.4380985033661</v>
      </c>
      <c r="S12" s="84">
        <f>'Bảng tính lãi vay'!$E$3/50</f>
        <v>1700.4380985033661</v>
      </c>
      <c r="T12" s="84">
        <f>'Bảng tính lãi vay'!$E$3/50</f>
        <v>1700.4380985033661</v>
      </c>
      <c r="U12" s="84">
        <f>'Bảng tính lãi vay'!$E$3/50</f>
        <v>1700.4380985033661</v>
      </c>
      <c r="V12" s="84">
        <f>'Bảng tính lãi vay'!$E$3/50</f>
        <v>1700.4380985033661</v>
      </c>
      <c r="W12" s="84">
        <f>'Bảng tính lãi vay'!$E$3/50</f>
        <v>1700.4380985033661</v>
      </c>
      <c r="X12" s="84">
        <f>'Bảng tính lãi vay'!$E$3/50</f>
        <v>1700.4380985033661</v>
      </c>
      <c r="Y12" s="84">
        <f>'Bảng tính lãi vay'!$E$3/50</f>
        <v>1700.4380985033661</v>
      </c>
      <c r="Z12" s="84">
        <f>'Bảng tính lãi vay'!$E$3/50</f>
        <v>1700.4380985033661</v>
      </c>
      <c r="AA12" s="84">
        <f>'Bảng tính lãi vay'!$E$3/50</f>
        <v>1700.4380985033661</v>
      </c>
      <c r="AB12" s="84">
        <f>'Bảng tính lãi vay'!$E$3/50</f>
        <v>1700.4380985033661</v>
      </c>
      <c r="AC12" s="84">
        <f>'Bảng tính lãi vay'!$E$3/50</f>
        <v>1700.4380985033661</v>
      </c>
      <c r="AD12" s="84">
        <f>'Bảng tính lãi vay'!$E$3/50</f>
        <v>1700.4380985033661</v>
      </c>
      <c r="AE12" s="84">
        <f>'Bảng tính lãi vay'!$E$3/50</f>
        <v>1700.4380985033661</v>
      </c>
      <c r="AF12" s="84">
        <f>'Bảng tính lãi vay'!$E$3/50</f>
        <v>1700.4380985033661</v>
      </c>
      <c r="AG12" s="84">
        <f>'Bảng tính lãi vay'!$E$3/50</f>
        <v>1700.4380985033661</v>
      </c>
      <c r="AH12" s="84">
        <f>'Bảng tính lãi vay'!$E$3/50</f>
        <v>1700.4380985033661</v>
      </c>
      <c r="AI12" s="84">
        <f>'Bảng tính lãi vay'!$E$3/50</f>
        <v>1700.4380985033661</v>
      </c>
      <c r="AJ12" s="84">
        <f>'Bảng tính lãi vay'!$E$3/50</f>
        <v>1700.4380985033661</v>
      </c>
      <c r="AK12" s="84">
        <f>'Bảng tính lãi vay'!$E$3/50</f>
        <v>1700.4380985033661</v>
      </c>
      <c r="AL12" s="84">
        <f>'Bảng tính lãi vay'!$E$3/50</f>
        <v>1700.4380985033661</v>
      </c>
      <c r="AM12" s="84">
        <f>'Bảng tính lãi vay'!$E$3/50</f>
        <v>1700.4380985033661</v>
      </c>
      <c r="AN12" s="84">
        <f>'Bảng tính lãi vay'!$E$3/50</f>
        <v>1700.4380985033661</v>
      </c>
      <c r="AO12" s="84">
        <f>'Bảng tính lãi vay'!$E$3/50</f>
        <v>1700.4380985033661</v>
      </c>
      <c r="AP12" s="84">
        <f>'Bảng tính lãi vay'!$E$3/50</f>
        <v>1700.4380985033661</v>
      </c>
      <c r="AQ12" s="84">
        <f>'Bảng tính lãi vay'!$E$3/50</f>
        <v>1700.4380985033661</v>
      </c>
      <c r="AR12" s="84">
        <f>'Bảng tính lãi vay'!$E$3/50</f>
        <v>1700.4380985033661</v>
      </c>
      <c r="AS12" s="84">
        <f>'Bảng tính lãi vay'!$E$3/50</f>
        <v>1700.4380985033661</v>
      </c>
      <c r="AT12" s="84">
        <f>'Bảng tính lãi vay'!$E$3/50</f>
        <v>1700.4380985033661</v>
      </c>
      <c r="AU12" s="84">
        <f>'Bảng tính lãi vay'!$E$3/50</f>
        <v>1700.4380985033661</v>
      </c>
      <c r="AV12" s="84">
        <f>'Bảng tính lãi vay'!$E$3/50</f>
        <v>1700.4380985033661</v>
      </c>
      <c r="AW12" s="84">
        <f>'Bảng tính lãi vay'!$E$3/50</f>
        <v>1700.4380985033661</v>
      </c>
      <c r="AX12" s="84">
        <f>'Bảng tính lãi vay'!$E$3/50</f>
        <v>1700.4380985033661</v>
      </c>
      <c r="AY12" s="84">
        <f>'Bảng tính lãi vay'!$E$3/50</f>
        <v>1700.4380985033661</v>
      </c>
      <c r="AZ12" s="84">
        <f>'Bảng tính lãi vay'!$E$3/50</f>
        <v>1700.4380985033661</v>
      </c>
      <c r="BA12" s="84">
        <f>'Bảng tính lãi vay'!$E$3/50</f>
        <v>1700.4380985033661</v>
      </c>
    </row>
    <row r="13" spans="1:53" ht="24.95" customHeight="1">
      <c r="A13" s="45">
        <v>6</v>
      </c>
      <c r="B13" s="41" t="s">
        <v>6</v>
      </c>
      <c r="C13" s="82"/>
      <c r="D13" s="80" t="e">
        <f t="shared" ref="D13:AI13" si="32">+D7-D10-D11-D12</f>
        <v>#REF!</v>
      </c>
      <c r="E13" s="80" t="e">
        <f t="shared" si="32"/>
        <v>#REF!</v>
      </c>
      <c r="F13" s="80" t="e">
        <f t="shared" si="32"/>
        <v>#REF!</v>
      </c>
      <c r="G13" s="80" t="e">
        <f t="shared" si="32"/>
        <v>#REF!</v>
      </c>
      <c r="H13" s="80" t="e">
        <f t="shared" si="32"/>
        <v>#REF!</v>
      </c>
      <c r="I13" s="80" t="e">
        <f t="shared" si="32"/>
        <v>#REF!</v>
      </c>
      <c r="J13" s="80" t="e">
        <f t="shared" si="32"/>
        <v>#REF!</v>
      </c>
      <c r="K13" s="80" t="e">
        <f t="shared" si="32"/>
        <v>#REF!</v>
      </c>
      <c r="L13" s="80" t="e">
        <f t="shared" si="32"/>
        <v>#REF!</v>
      </c>
      <c r="M13" s="80" t="e">
        <f t="shared" si="32"/>
        <v>#REF!</v>
      </c>
      <c r="N13" s="80" t="e">
        <f t="shared" si="32"/>
        <v>#REF!</v>
      </c>
      <c r="O13" s="80" t="e">
        <f t="shared" si="32"/>
        <v>#REF!</v>
      </c>
      <c r="P13" s="80" t="e">
        <f t="shared" si="32"/>
        <v>#REF!</v>
      </c>
      <c r="Q13" s="80" t="e">
        <f t="shared" si="32"/>
        <v>#REF!</v>
      </c>
      <c r="R13" s="80" t="e">
        <f t="shared" si="32"/>
        <v>#REF!</v>
      </c>
      <c r="S13" s="80" t="e">
        <f t="shared" si="32"/>
        <v>#REF!</v>
      </c>
      <c r="T13" s="80" t="e">
        <f t="shared" si="32"/>
        <v>#REF!</v>
      </c>
      <c r="U13" s="80" t="e">
        <f t="shared" si="32"/>
        <v>#REF!</v>
      </c>
      <c r="V13" s="80" t="e">
        <f t="shared" si="32"/>
        <v>#REF!</v>
      </c>
      <c r="W13" s="80" t="e">
        <f t="shared" si="32"/>
        <v>#REF!</v>
      </c>
      <c r="X13" s="80" t="e">
        <f t="shared" si="32"/>
        <v>#REF!</v>
      </c>
      <c r="Y13" s="80" t="e">
        <f t="shared" si="32"/>
        <v>#REF!</v>
      </c>
      <c r="Z13" s="80" t="e">
        <f t="shared" si="32"/>
        <v>#REF!</v>
      </c>
      <c r="AA13" s="80" t="e">
        <f t="shared" si="32"/>
        <v>#REF!</v>
      </c>
      <c r="AB13" s="80" t="e">
        <f t="shared" si="32"/>
        <v>#REF!</v>
      </c>
      <c r="AC13" s="80" t="e">
        <f t="shared" si="32"/>
        <v>#REF!</v>
      </c>
      <c r="AD13" s="80" t="e">
        <f t="shared" si="32"/>
        <v>#REF!</v>
      </c>
      <c r="AE13" s="80" t="e">
        <f t="shared" si="32"/>
        <v>#REF!</v>
      </c>
      <c r="AF13" s="80" t="e">
        <f t="shared" si="32"/>
        <v>#REF!</v>
      </c>
      <c r="AG13" s="80" t="e">
        <f t="shared" si="32"/>
        <v>#REF!</v>
      </c>
      <c r="AH13" s="80" t="e">
        <f t="shared" si="32"/>
        <v>#REF!</v>
      </c>
      <c r="AI13" s="80" t="e">
        <f t="shared" si="32"/>
        <v>#REF!</v>
      </c>
      <c r="AJ13" s="80" t="e">
        <f t="shared" ref="AJ13:BA13" si="33">+AJ7-AJ10-AJ11-AJ12</f>
        <v>#REF!</v>
      </c>
      <c r="AK13" s="80" t="e">
        <f t="shared" si="33"/>
        <v>#REF!</v>
      </c>
      <c r="AL13" s="80" t="e">
        <f t="shared" si="33"/>
        <v>#REF!</v>
      </c>
      <c r="AM13" s="80" t="e">
        <f t="shared" si="33"/>
        <v>#REF!</v>
      </c>
      <c r="AN13" s="80" t="e">
        <f t="shared" si="33"/>
        <v>#REF!</v>
      </c>
      <c r="AO13" s="80" t="e">
        <f t="shared" si="33"/>
        <v>#REF!</v>
      </c>
      <c r="AP13" s="80" t="e">
        <f t="shared" si="33"/>
        <v>#REF!</v>
      </c>
      <c r="AQ13" s="80" t="e">
        <f t="shared" si="33"/>
        <v>#REF!</v>
      </c>
      <c r="AR13" s="80" t="e">
        <f t="shared" si="33"/>
        <v>#REF!</v>
      </c>
      <c r="AS13" s="80" t="e">
        <f t="shared" si="33"/>
        <v>#REF!</v>
      </c>
      <c r="AT13" s="80" t="e">
        <f t="shared" si="33"/>
        <v>#REF!</v>
      </c>
      <c r="AU13" s="80" t="e">
        <f t="shared" si="33"/>
        <v>#REF!</v>
      </c>
      <c r="AV13" s="80" t="e">
        <f t="shared" si="33"/>
        <v>#REF!</v>
      </c>
      <c r="AW13" s="80" t="e">
        <f t="shared" si="33"/>
        <v>#REF!</v>
      </c>
      <c r="AX13" s="80" t="e">
        <f t="shared" si="33"/>
        <v>#REF!</v>
      </c>
      <c r="AY13" s="80" t="e">
        <f t="shared" si="33"/>
        <v>#REF!</v>
      </c>
      <c r="AZ13" s="80" t="e">
        <f t="shared" si="33"/>
        <v>#REF!</v>
      </c>
      <c r="BA13" s="80" t="e">
        <f t="shared" si="33"/>
        <v>#REF!</v>
      </c>
    </row>
    <row r="14" spans="1:53" ht="24.95" customHeight="1">
      <c r="A14" s="45">
        <v>7</v>
      </c>
      <c r="B14" s="41" t="s">
        <v>7</v>
      </c>
      <c r="C14" s="80">
        <v>0</v>
      </c>
      <c r="D14" s="80" t="e">
        <f t="shared" ref="D14:L14" si="34">D13*20%</f>
        <v>#REF!</v>
      </c>
      <c r="E14" s="80" t="e">
        <f t="shared" si="34"/>
        <v>#REF!</v>
      </c>
      <c r="F14" s="80" t="e">
        <f t="shared" si="34"/>
        <v>#REF!</v>
      </c>
      <c r="G14" s="80" t="e">
        <f t="shared" si="34"/>
        <v>#REF!</v>
      </c>
      <c r="H14" s="80" t="e">
        <f t="shared" si="34"/>
        <v>#REF!</v>
      </c>
      <c r="I14" s="80" t="e">
        <f t="shared" si="34"/>
        <v>#REF!</v>
      </c>
      <c r="J14" s="80" t="e">
        <f t="shared" si="34"/>
        <v>#REF!</v>
      </c>
      <c r="K14" s="80" t="e">
        <f t="shared" si="34"/>
        <v>#REF!</v>
      </c>
      <c r="L14" s="80" t="e">
        <f t="shared" si="34"/>
        <v>#REF!</v>
      </c>
      <c r="M14" s="80" t="e">
        <f t="shared" ref="M14:AS14" si="35">M13*20%</f>
        <v>#REF!</v>
      </c>
      <c r="N14" s="80" t="e">
        <f t="shared" si="35"/>
        <v>#REF!</v>
      </c>
      <c r="O14" s="80" t="e">
        <f t="shared" si="35"/>
        <v>#REF!</v>
      </c>
      <c r="P14" s="80" t="e">
        <f t="shared" si="35"/>
        <v>#REF!</v>
      </c>
      <c r="Q14" s="80" t="e">
        <f t="shared" si="35"/>
        <v>#REF!</v>
      </c>
      <c r="R14" s="80" t="e">
        <f t="shared" si="35"/>
        <v>#REF!</v>
      </c>
      <c r="S14" s="80" t="e">
        <f t="shared" si="35"/>
        <v>#REF!</v>
      </c>
      <c r="T14" s="80" t="e">
        <f t="shared" si="35"/>
        <v>#REF!</v>
      </c>
      <c r="U14" s="80" t="e">
        <f t="shared" si="35"/>
        <v>#REF!</v>
      </c>
      <c r="V14" s="80" t="e">
        <f t="shared" si="35"/>
        <v>#REF!</v>
      </c>
      <c r="W14" s="80" t="e">
        <f t="shared" si="35"/>
        <v>#REF!</v>
      </c>
      <c r="X14" s="80" t="e">
        <f t="shared" si="35"/>
        <v>#REF!</v>
      </c>
      <c r="Y14" s="80" t="e">
        <f t="shared" si="35"/>
        <v>#REF!</v>
      </c>
      <c r="Z14" s="80" t="e">
        <f t="shared" si="35"/>
        <v>#REF!</v>
      </c>
      <c r="AA14" s="80" t="e">
        <f t="shared" si="35"/>
        <v>#REF!</v>
      </c>
      <c r="AB14" s="80" t="e">
        <f t="shared" si="35"/>
        <v>#REF!</v>
      </c>
      <c r="AC14" s="80" t="e">
        <f t="shared" si="35"/>
        <v>#REF!</v>
      </c>
      <c r="AD14" s="80" t="e">
        <f t="shared" si="35"/>
        <v>#REF!</v>
      </c>
      <c r="AE14" s="80" t="e">
        <f t="shared" si="35"/>
        <v>#REF!</v>
      </c>
      <c r="AF14" s="80" t="e">
        <f t="shared" si="35"/>
        <v>#REF!</v>
      </c>
      <c r="AG14" s="80" t="e">
        <f t="shared" si="35"/>
        <v>#REF!</v>
      </c>
      <c r="AH14" s="80" t="e">
        <f t="shared" si="35"/>
        <v>#REF!</v>
      </c>
      <c r="AI14" s="80" t="e">
        <f t="shared" si="35"/>
        <v>#REF!</v>
      </c>
      <c r="AJ14" s="80" t="e">
        <f t="shared" si="35"/>
        <v>#REF!</v>
      </c>
      <c r="AK14" s="80" t="e">
        <f t="shared" si="35"/>
        <v>#REF!</v>
      </c>
      <c r="AL14" s="80" t="e">
        <f t="shared" si="35"/>
        <v>#REF!</v>
      </c>
      <c r="AM14" s="80" t="e">
        <f t="shared" si="35"/>
        <v>#REF!</v>
      </c>
      <c r="AN14" s="80" t="e">
        <f t="shared" si="35"/>
        <v>#REF!</v>
      </c>
      <c r="AO14" s="80" t="e">
        <f t="shared" si="35"/>
        <v>#REF!</v>
      </c>
      <c r="AP14" s="80" t="e">
        <f t="shared" si="35"/>
        <v>#REF!</v>
      </c>
      <c r="AQ14" s="80" t="e">
        <f t="shared" si="35"/>
        <v>#REF!</v>
      </c>
      <c r="AR14" s="80" t="e">
        <f t="shared" si="35"/>
        <v>#REF!</v>
      </c>
      <c r="AS14" s="80" t="e">
        <f t="shared" si="35"/>
        <v>#REF!</v>
      </c>
      <c r="AT14" s="80" t="e">
        <f t="shared" ref="AT14:BA14" si="36">AT13*20%</f>
        <v>#REF!</v>
      </c>
      <c r="AU14" s="80" t="e">
        <f t="shared" si="36"/>
        <v>#REF!</v>
      </c>
      <c r="AV14" s="80" t="e">
        <f t="shared" si="36"/>
        <v>#REF!</v>
      </c>
      <c r="AW14" s="80" t="e">
        <f t="shared" si="36"/>
        <v>#REF!</v>
      </c>
      <c r="AX14" s="80" t="e">
        <f t="shared" si="36"/>
        <v>#REF!</v>
      </c>
      <c r="AY14" s="80" t="e">
        <f t="shared" si="36"/>
        <v>#REF!</v>
      </c>
      <c r="AZ14" s="80" t="e">
        <f t="shared" si="36"/>
        <v>#REF!</v>
      </c>
      <c r="BA14" s="80" t="e">
        <f t="shared" si="36"/>
        <v>#REF!</v>
      </c>
    </row>
    <row r="15" spans="1:53" ht="24.95" customHeight="1">
      <c r="A15" s="45">
        <v>8</v>
      </c>
      <c r="B15" s="41" t="s">
        <v>8</v>
      </c>
      <c r="C15" s="85">
        <f>-C6</f>
        <v>-85021.904925168303</v>
      </c>
      <c r="D15" s="80" t="e">
        <f>+D13-D14</f>
        <v>#REF!</v>
      </c>
      <c r="E15" s="80" t="e">
        <f>E13-E14</f>
        <v>#REF!</v>
      </c>
      <c r="F15" s="80" t="e">
        <f t="shared" ref="F15:L15" si="37">F13-F14</f>
        <v>#REF!</v>
      </c>
      <c r="G15" s="80" t="e">
        <f t="shared" si="37"/>
        <v>#REF!</v>
      </c>
      <c r="H15" s="80" t="e">
        <f t="shared" si="37"/>
        <v>#REF!</v>
      </c>
      <c r="I15" s="80" t="e">
        <f t="shared" si="37"/>
        <v>#REF!</v>
      </c>
      <c r="J15" s="80" t="e">
        <f t="shared" si="37"/>
        <v>#REF!</v>
      </c>
      <c r="K15" s="80" t="e">
        <f t="shared" si="37"/>
        <v>#REF!</v>
      </c>
      <c r="L15" s="80" t="e">
        <f t="shared" si="37"/>
        <v>#REF!</v>
      </c>
      <c r="M15" s="80" t="e">
        <f t="shared" ref="M15" si="38">M13-M14+L15</f>
        <v>#REF!</v>
      </c>
      <c r="N15" s="80" t="e">
        <f t="shared" ref="N15:U15" si="39">N13-N14</f>
        <v>#REF!</v>
      </c>
      <c r="O15" s="80" t="e">
        <f t="shared" si="39"/>
        <v>#REF!</v>
      </c>
      <c r="P15" s="80" t="e">
        <f t="shared" si="39"/>
        <v>#REF!</v>
      </c>
      <c r="Q15" s="80" t="e">
        <f t="shared" si="39"/>
        <v>#REF!</v>
      </c>
      <c r="R15" s="80" t="e">
        <f t="shared" si="39"/>
        <v>#REF!</v>
      </c>
      <c r="S15" s="80" t="e">
        <f t="shared" si="39"/>
        <v>#REF!</v>
      </c>
      <c r="T15" s="80" t="e">
        <f t="shared" si="39"/>
        <v>#REF!</v>
      </c>
      <c r="U15" s="80" t="e">
        <f t="shared" si="39"/>
        <v>#REF!</v>
      </c>
      <c r="V15" s="80" t="e">
        <f t="shared" ref="V15" si="40">V13-V14+U15</f>
        <v>#REF!</v>
      </c>
      <c r="W15" s="80" t="e">
        <f t="shared" ref="W15:AD15" si="41">W13-W14</f>
        <v>#REF!</v>
      </c>
      <c r="X15" s="80" t="e">
        <f t="shared" si="41"/>
        <v>#REF!</v>
      </c>
      <c r="Y15" s="80" t="e">
        <f t="shared" si="41"/>
        <v>#REF!</v>
      </c>
      <c r="Z15" s="80" t="e">
        <f t="shared" si="41"/>
        <v>#REF!</v>
      </c>
      <c r="AA15" s="80" t="e">
        <f t="shared" si="41"/>
        <v>#REF!</v>
      </c>
      <c r="AB15" s="80" t="e">
        <f t="shared" si="41"/>
        <v>#REF!</v>
      </c>
      <c r="AC15" s="80" t="e">
        <f t="shared" si="41"/>
        <v>#REF!</v>
      </c>
      <c r="AD15" s="80" t="e">
        <f t="shared" si="41"/>
        <v>#REF!</v>
      </c>
      <c r="AE15" s="80" t="e">
        <f t="shared" ref="AE15" si="42">AE13-AE14+AD15</f>
        <v>#REF!</v>
      </c>
      <c r="AF15" s="80" t="e">
        <f t="shared" ref="AF15:AM15" si="43">AF13-AF14</f>
        <v>#REF!</v>
      </c>
      <c r="AG15" s="80" t="e">
        <f t="shared" si="43"/>
        <v>#REF!</v>
      </c>
      <c r="AH15" s="80" t="e">
        <f t="shared" si="43"/>
        <v>#REF!</v>
      </c>
      <c r="AI15" s="80" t="e">
        <f t="shared" si="43"/>
        <v>#REF!</v>
      </c>
      <c r="AJ15" s="80" t="e">
        <f t="shared" si="43"/>
        <v>#REF!</v>
      </c>
      <c r="AK15" s="80" t="e">
        <f t="shared" si="43"/>
        <v>#REF!</v>
      </c>
      <c r="AL15" s="80" t="e">
        <f t="shared" si="43"/>
        <v>#REF!</v>
      </c>
      <c r="AM15" s="80" t="e">
        <f t="shared" si="43"/>
        <v>#REF!</v>
      </c>
      <c r="AN15" s="80" t="e">
        <f t="shared" ref="AN15" si="44">AN13-AN14+AM15</f>
        <v>#REF!</v>
      </c>
      <c r="AO15" s="80" t="e">
        <f t="shared" ref="AO15:AV15" si="45">AO13-AO14</f>
        <v>#REF!</v>
      </c>
      <c r="AP15" s="80" t="e">
        <f t="shared" si="45"/>
        <v>#REF!</v>
      </c>
      <c r="AQ15" s="80" t="e">
        <f t="shared" si="45"/>
        <v>#REF!</v>
      </c>
      <c r="AR15" s="80" t="e">
        <f t="shared" si="45"/>
        <v>#REF!</v>
      </c>
      <c r="AS15" s="80" t="e">
        <f t="shared" si="45"/>
        <v>#REF!</v>
      </c>
      <c r="AT15" s="80" t="e">
        <f t="shared" si="45"/>
        <v>#REF!</v>
      </c>
      <c r="AU15" s="80" t="e">
        <f t="shared" si="45"/>
        <v>#REF!</v>
      </c>
      <c r="AV15" s="80" t="e">
        <f t="shared" si="45"/>
        <v>#REF!</v>
      </c>
      <c r="AW15" s="80" t="e">
        <f t="shared" ref="AW15" si="46">AW13-AW14+AV15</f>
        <v>#REF!</v>
      </c>
      <c r="AX15" s="80" t="e">
        <f t="shared" ref="AX15:BA15" si="47">AX13-AX14</f>
        <v>#REF!</v>
      </c>
      <c r="AY15" s="80" t="e">
        <f t="shared" si="47"/>
        <v>#REF!</v>
      </c>
      <c r="AZ15" s="80" t="e">
        <f t="shared" si="47"/>
        <v>#REF!</v>
      </c>
      <c r="BA15" s="80" t="e">
        <f t="shared" si="47"/>
        <v>#REF!</v>
      </c>
    </row>
    <row r="16" spans="1:53" ht="24.95" customHeight="1">
      <c r="A16" s="45">
        <v>9</v>
      </c>
      <c r="B16" s="42" t="s">
        <v>79</v>
      </c>
      <c r="C16" s="86">
        <f>+C15/(1+C2)^C5</f>
        <v>-85021.904925168303</v>
      </c>
      <c r="D16" s="86" t="e">
        <f t="shared" ref="D16:AI16" si="48">+D15/(1+$C$2)^D5</f>
        <v>#REF!</v>
      </c>
      <c r="E16" s="87" t="e">
        <f t="shared" si="48"/>
        <v>#REF!</v>
      </c>
      <c r="F16" s="87" t="e">
        <f t="shared" si="48"/>
        <v>#REF!</v>
      </c>
      <c r="G16" s="87" t="e">
        <f t="shared" si="48"/>
        <v>#REF!</v>
      </c>
      <c r="H16" s="87" t="e">
        <f t="shared" si="48"/>
        <v>#REF!</v>
      </c>
      <c r="I16" s="87" t="e">
        <f t="shared" si="48"/>
        <v>#REF!</v>
      </c>
      <c r="J16" s="87" t="e">
        <f t="shared" si="48"/>
        <v>#REF!</v>
      </c>
      <c r="K16" s="87" t="e">
        <f t="shared" si="48"/>
        <v>#REF!</v>
      </c>
      <c r="L16" s="87" t="e">
        <f t="shared" si="48"/>
        <v>#REF!</v>
      </c>
      <c r="M16" s="87" t="e">
        <f t="shared" si="48"/>
        <v>#REF!</v>
      </c>
      <c r="N16" s="87" t="e">
        <f t="shared" si="48"/>
        <v>#REF!</v>
      </c>
      <c r="O16" s="87" t="e">
        <f t="shared" si="48"/>
        <v>#REF!</v>
      </c>
      <c r="P16" s="87" t="e">
        <f t="shared" si="48"/>
        <v>#REF!</v>
      </c>
      <c r="Q16" s="87" t="e">
        <f t="shared" si="48"/>
        <v>#REF!</v>
      </c>
      <c r="R16" s="87" t="e">
        <f t="shared" si="48"/>
        <v>#REF!</v>
      </c>
      <c r="S16" s="87" t="e">
        <f t="shared" si="48"/>
        <v>#REF!</v>
      </c>
      <c r="T16" s="87" t="e">
        <f t="shared" si="48"/>
        <v>#REF!</v>
      </c>
      <c r="U16" s="87" t="e">
        <f t="shared" si="48"/>
        <v>#REF!</v>
      </c>
      <c r="V16" s="87" t="e">
        <f t="shared" si="48"/>
        <v>#REF!</v>
      </c>
      <c r="W16" s="87" t="e">
        <f t="shared" si="48"/>
        <v>#REF!</v>
      </c>
      <c r="X16" s="87" t="e">
        <f t="shared" si="48"/>
        <v>#REF!</v>
      </c>
      <c r="Y16" s="87" t="e">
        <f t="shared" si="48"/>
        <v>#REF!</v>
      </c>
      <c r="Z16" s="87" t="e">
        <f t="shared" si="48"/>
        <v>#REF!</v>
      </c>
      <c r="AA16" s="87" t="e">
        <f t="shared" si="48"/>
        <v>#REF!</v>
      </c>
      <c r="AB16" s="87" t="e">
        <f t="shared" si="48"/>
        <v>#REF!</v>
      </c>
      <c r="AC16" s="87" t="e">
        <f t="shared" si="48"/>
        <v>#REF!</v>
      </c>
      <c r="AD16" s="87" t="e">
        <f t="shared" si="48"/>
        <v>#REF!</v>
      </c>
      <c r="AE16" s="87" t="e">
        <f t="shared" si="48"/>
        <v>#REF!</v>
      </c>
      <c r="AF16" s="87" t="e">
        <f t="shared" si="48"/>
        <v>#REF!</v>
      </c>
      <c r="AG16" s="87" t="e">
        <f t="shared" si="48"/>
        <v>#REF!</v>
      </c>
      <c r="AH16" s="87" t="e">
        <f t="shared" si="48"/>
        <v>#REF!</v>
      </c>
      <c r="AI16" s="87" t="e">
        <f t="shared" si="48"/>
        <v>#REF!</v>
      </c>
      <c r="AJ16" s="87" t="e">
        <f t="shared" ref="AJ16:BA16" si="49">+AJ15/(1+$C$2)^AJ5</f>
        <v>#REF!</v>
      </c>
      <c r="AK16" s="87" t="e">
        <f t="shared" si="49"/>
        <v>#REF!</v>
      </c>
      <c r="AL16" s="87" t="e">
        <f t="shared" si="49"/>
        <v>#REF!</v>
      </c>
      <c r="AM16" s="87" t="e">
        <f t="shared" si="49"/>
        <v>#REF!</v>
      </c>
      <c r="AN16" s="87" t="e">
        <f t="shared" si="49"/>
        <v>#REF!</v>
      </c>
      <c r="AO16" s="87" t="e">
        <f t="shared" si="49"/>
        <v>#REF!</v>
      </c>
      <c r="AP16" s="87" t="e">
        <f t="shared" si="49"/>
        <v>#REF!</v>
      </c>
      <c r="AQ16" s="87" t="e">
        <f t="shared" si="49"/>
        <v>#REF!</v>
      </c>
      <c r="AR16" s="87" t="e">
        <f t="shared" si="49"/>
        <v>#REF!</v>
      </c>
      <c r="AS16" s="87" t="e">
        <f t="shared" si="49"/>
        <v>#REF!</v>
      </c>
      <c r="AT16" s="87" t="e">
        <f t="shared" si="49"/>
        <v>#REF!</v>
      </c>
      <c r="AU16" s="87" t="e">
        <f t="shared" si="49"/>
        <v>#REF!</v>
      </c>
      <c r="AV16" s="87" t="e">
        <f t="shared" si="49"/>
        <v>#REF!</v>
      </c>
      <c r="AW16" s="87" t="e">
        <f t="shared" si="49"/>
        <v>#REF!</v>
      </c>
      <c r="AX16" s="87" t="e">
        <f t="shared" si="49"/>
        <v>#REF!</v>
      </c>
      <c r="AY16" s="87" t="e">
        <f t="shared" si="49"/>
        <v>#REF!</v>
      </c>
      <c r="AZ16" s="87" t="e">
        <f t="shared" si="49"/>
        <v>#REF!</v>
      </c>
      <c r="BA16" s="87" t="e">
        <f t="shared" si="49"/>
        <v>#REF!</v>
      </c>
    </row>
    <row r="17" spans="1:53" ht="24.95" customHeight="1">
      <c r="A17" s="45">
        <v>10</v>
      </c>
      <c r="B17" s="42" t="s">
        <v>78</v>
      </c>
      <c r="C17" s="86">
        <f>+C16</f>
        <v>-85021.904925168303</v>
      </c>
      <c r="D17" s="86" t="e">
        <f>+C17+D16</f>
        <v>#REF!</v>
      </c>
      <c r="E17" s="86" t="e">
        <f t="shared" ref="E17:AS17" si="50">+D17+E16</f>
        <v>#REF!</v>
      </c>
      <c r="F17" s="86" t="e">
        <f t="shared" si="50"/>
        <v>#REF!</v>
      </c>
      <c r="G17" s="86" t="e">
        <f t="shared" si="50"/>
        <v>#REF!</v>
      </c>
      <c r="H17" s="86" t="e">
        <f t="shared" si="50"/>
        <v>#REF!</v>
      </c>
      <c r="I17" s="86" t="e">
        <f t="shared" si="50"/>
        <v>#REF!</v>
      </c>
      <c r="J17" s="86" t="e">
        <f t="shared" si="50"/>
        <v>#REF!</v>
      </c>
      <c r="K17" s="86" t="e">
        <f t="shared" si="50"/>
        <v>#REF!</v>
      </c>
      <c r="L17" s="86" t="e">
        <f t="shared" si="50"/>
        <v>#REF!</v>
      </c>
      <c r="M17" s="86" t="e">
        <f t="shared" si="50"/>
        <v>#REF!</v>
      </c>
      <c r="N17" s="86" t="e">
        <f t="shared" si="50"/>
        <v>#REF!</v>
      </c>
      <c r="O17" s="86" t="e">
        <f t="shared" si="50"/>
        <v>#REF!</v>
      </c>
      <c r="P17" s="86" t="e">
        <f t="shared" si="50"/>
        <v>#REF!</v>
      </c>
      <c r="Q17" s="86" t="e">
        <f t="shared" si="50"/>
        <v>#REF!</v>
      </c>
      <c r="R17" s="86" t="e">
        <f t="shared" si="50"/>
        <v>#REF!</v>
      </c>
      <c r="S17" s="86" t="e">
        <f t="shared" si="50"/>
        <v>#REF!</v>
      </c>
      <c r="T17" s="86" t="e">
        <f t="shared" si="50"/>
        <v>#REF!</v>
      </c>
      <c r="U17" s="86" t="e">
        <f t="shared" si="50"/>
        <v>#REF!</v>
      </c>
      <c r="V17" s="86" t="e">
        <f t="shared" si="50"/>
        <v>#REF!</v>
      </c>
      <c r="W17" s="86" t="e">
        <f t="shared" si="50"/>
        <v>#REF!</v>
      </c>
      <c r="X17" s="86" t="e">
        <f t="shared" si="50"/>
        <v>#REF!</v>
      </c>
      <c r="Y17" s="86" t="e">
        <f t="shared" si="50"/>
        <v>#REF!</v>
      </c>
      <c r="Z17" s="86" t="e">
        <f t="shared" si="50"/>
        <v>#REF!</v>
      </c>
      <c r="AA17" s="86" t="e">
        <f t="shared" si="50"/>
        <v>#REF!</v>
      </c>
      <c r="AB17" s="86" t="e">
        <f t="shared" si="50"/>
        <v>#REF!</v>
      </c>
      <c r="AC17" s="86" t="e">
        <f t="shared" si="50"/>
        <v>#REF!</v>
      </c>
      <c r="AD17" s="86" t="e">
        <f t="shared" si="50"/>
        <v>#REF!</v>
      </c>
      <c r="AE17" s="86" t="e">
        <f t="shared" si="50"/>
        <v>#REF!</v>
      </c>
      <c r="AF17" s="86" t="e">
        <f t="shared" si="50"/>
        <v>#REF!</v>
      </c>
      <c r="AG17" s="86" t="e">
        <f t="shared" si="50"/>
        <v>#REF!</v>
      </c>
      <c r="AH17" s="86" t="e">
        <f t="shared" si="50"/>
        <v>#REF!</v>
      </c>
      <c r="AI17" s="86" t="e">
        <f t="shared" si="50"/>
        <v>#REF!</v>
      </c>
      <c r="AJ17" s="86" t="e">
        <f t="shared" si="50"/>
        <v>#REF!</v>
      </c>
      <c r="AK17" s="86" t="e">
        <f t="shared" si="50"/>
        <v>#REF!</v>
      </c>
      <c r="AL17" s="86" t="e">
        <f t="shared" si="50"/>
        <v>#REF!</v>
      </c>
      <c r="AM17" s="86" t="e">
        <f t="shared" si="50"/>
        <v>#REF!</v>
      </c>
      <c r="AN17" s="86" t="e">
        <f t="shared" si="50"/>
        <v>#REF!</v>
      </c>
      <c r="AO17" s="86" t="e">
        <f t="shared" si="50"/>
        <v>#REF!</v>
      </c>
      <c r="AP17" s="86" t="e">
        <f t="shared" si="50"/>
        <v>#REF!</v>
      </c>
      <c r="AQ17" s="86" t="e">
        <f t="shared" si="50"/>
        <v>#REF!</v>
      </c>
      <c r="AR17" s="86" t="e">
        <f t="shared" si="50"/>
        <v>#REF!</v>
      </c>
      <c r="AS17" s="86" t="e">
        <f t="shared" si="50"/>
        <v>#REF!</v>
      </c>
      <c r="AT17" s="86" t="e">
        <f t="shared" ref="AT17" si="51">+AS17+AT16</f>
        <v>#REF!</v>
      </c>
      <c r="AU17" s="86" t="e">
        <f t="shared" ref="AU17" si="52">+AT17+AU16</f>
        <v>#REF!</v>
      </c>
      <c r="AV17" s="86" t="e">
        <f t="shared" ref="AV17" si="53">+AU17+AV16</f>
        <v>#REF!</v>
      </c>
      <c r="AW17" s="86" t="e">
        <f t="shared" ref="AW17" si="54">+AV17+AW16</f>
        <v>#REF!</v>
      </c>
      <c r="AX17" s="86" t="e">
        <f t="shared" ref="AX17" si="55">+AW17+AX16</f>
        <v>#REF!</v>
      </c>
      <c r="AY17" s="86" t="e">
        <f t="shared" ref="AY17" si="56">+AX17+AY16</f>
        <v>#REF!</v>
      </c>
      <c r="AZ17" s="86" t="e">
        <f t="shared" ref="AZ17" si="57">+AY17+AZ16</f>
        <v>#REF!</v>
      </c>
      <c r="BA17" s="86" t="e">
        <f t="shared" ref="BA17" si="58">+AZ17+BA16</f>
        <v>#REF!</v>
      </c>
    </row>
    <row r="18" spans="1:53" ht="24.95" customHeight="1">
      <c r="A18" s="45">
        <v>11</v>
      </c>
      <c r="B18" s="42" t="s">
        <v>16</v>
      </c>
      <c r="C18" s="17" t="e">
        <f>+SUM(C16:BA16)</f>
        <v>#REF!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ht="24.95" customHeight="1">
      <c r="A19" s="45">
        <v>12</v>
      </c>
      <c r="B19" s="43" t="s">
        <v>17</v>
      </c>
      <c r="C19" s="37" t="e">
        <f>+IRR(C15:BA15)</f>
        <v>#VALUE!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</row>
    <row r="20" spans="1:53" ht="24.95" customHeight="1">
      <c r="A20" s="45">
        <v>13</v>
      </c>
      <c r="B20" s="44" t="s">
        <v>77</v>
      </c>
      <c r="C20" s="44" t="s">
        <v>82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</sheetData>
  <pageMargins left="0.7" right="0.3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H7" sqref="H7"/>
    </sheetView>
  </sheetViews>
  <sheetFormatPr defaultColWidth="10" defaultRowHeight="15"/>
  <cols>
    <col min="1" max="1" width="4.85546875" style="120" customWidth="1"/>
    <col min="2" max="2" width="29.140625" style="120" customWidth="1"/>
    <col min="3" max="3" width="12.28515625" style="120" hidden="1" customWidth="1"/>
    <col min="4" max="4" width="13.5703125" style="120" hidden="1" customWidth="1"/>
    <col min="5" max="5" width="14.7109375" style="120" customWidth="1"/>
    <col min="6" max="6" width="5.7109375" style="120" customWidth="1"/>
    <col min="7" max="7" width="26.7109375" style="120" customWidth="1"/>
    <col min="8" max="8" width="16.42578125" style="120" customWidth="1"/>
    <col min="9" max="9" width="15.28515625" style="120" customWidth="1"/>
    <col min="10" max="10" width="16.28515625" style="120" customWidth="1"/>
    <col min="11" max="11" width="7.7109375" style="120" customWidth="1"/>
    <col min="12" max="12" width="23.28515625" style="120" customWidth="1"/>
    <col min="13" max="13" width="20.28515625" style="120" customWidth="1"/>
    <col min="14" max="14" width="21.28515625" style="120" customWidth="1"/>
    <col min="15" max="256" width="10" style="120"/>
    <col min="257" max="257" width="6.140625" style="120" customWidth="1"/>
    <col min="258" max="258" width="32.28515625" style="120" customWidth="1"/>
    <col min="259" max="260" width="0" style="120" hidden="1" customWidth="1"/>
    <col min="261" max="261" width="13.28515625" style="120" customWidth="1"/>
    <col min="262" max="262" width="5.7109375" style="120" customWidth="1"/>
    <col min="263" max="263" width="28.28515625" style="120" customWidth="1"/>
    <col min="264" max="264" width="18.5703125" style="120" customWidth="1"/>
    <col min="265" max="265" width="15.7109375" style="120" customWidth="1"/>
    <col min="266" max="266" width="19.140625" style="120" customWidth="1"/>
    <col min="267" max="267" width="8.5703125" style="120" customWidth="1"/>
    <col min="268" max="268" width="23.28515625" style="120" customWidth="1"/>
    <col min="269" max="269" width="20.28515625" style="120" customWidth="1"/>
    <col min="270" max="270" width="21.28515625" style="120" customWidth="1"/>
    <col min="271" max="512" width="10" style="120"/>
    <col min="513" max="513" width="6.140625" style="120" customWidth="1"/>
    <col min="514" max="514" width="32.28515625" style="120" customWidth="1"/>
    <col min="515" max="516" width="0" style="120" hidden="1" customWidth="1"/>
    <col min="517" max="517" width="13.28515625" style="120" customWidth="1"/>
    <col min="518" max="518" width="5.7109375" style="120" customWidth="1"/>
    <col min="519" max="519" width="28.28515625" style="120" customWidth="1"/>
    <col min="520" max="520" width="18.5703125" style="120" customWidth="1"/>
    <col min="521" max="521" width="15.7109375" style="120" customWidth="1"/>
    <col min="522" max="522" width="19.140625" style="120" customWidth="1"/>
    <col min="523" max="523" width="8.5703125" style="120" customWidth="1"/>
    <col min="524" max="524" width="23.28515625" style="120" customWidth="1"/>
    <col min="525" max="525" width="20.28515625" style="120" customWidth="1"/>
    <col min="526" max="526" width="21.28515625" style="120" customWidth="1"/>
    <col min="527" max="768" width="10" style="120"/>
    <col min="769" max="769" width="6.140625" style="120" customWidth="1"/>
    <col min="770" max="770" width="32.28515625" style="120" customWidth="1"/>
    <col min="771" max="772" width="0" style="120" hidden="1" customWidth="1"/>
    <col min="773" max="773" width="13.28515625" style="120" customWidth="1"/>
    <col min="774" max="774" width="5.7109375" style="120" customWidth="1"/>
    <col min="775" max="775" width="28.28515625" style="120" customWidth="1"/>
    <col min="776" max="776" width="18.5703125" style="120" customWidth="1"/>
    <col min="777" max="777" width="15.7109375" style="120" customWidth="1"/>
    <col min="778" max="778" width="19.140625" style="120" customWidth="1"/>
    <col min="779" max="779" width="8.5703125" style="120" customWidth="1"/>
    <col min="780" max="780" width="23.28515625" style="120" customWidth="1"/>
    <col min="781" max="781" width="20.28515625" style="120" customWidth="1"/>
    <col min="782" max="782" width="21.28515625" style="120" customWidth="1"/>
    <col min="783" max="1024" width="10" style="120"/>
    <col min="1025" max="1025" width="6.140625" style="120" customWidth="1"/>
    <col min="1026" max="1026" width="32.28515625" style="120" customWidth="1"/>
    <col min="1027" max="1028" width="0" style="120" hidden="1" customWidth="1"/>
    <col min="1029" max="1029" width="13.28515625" style="120" customWidth="1"/>
    <col min="1030" max="1030" width="5.7109375" style="120" customWidth="1"/>
    <col min="1031" max="1031" width="28.28515625" style="120" customWidth="1"/>
    <col min="1032" max="1032" width="18.5703125" style="120" customWidth="1"/>
    <col min="1033" max="1033" width="15.7109375" style="120" customWidth="1"/>
    <col min="1034" max="1034" width="19.140625" style="120" customWidth="1"/>
    <col min="1035" max="1035" width="8.5703125" style="120" customWidth="1"/>
    <col min="1036" max="1036" width="23.28515625" style="120" customWidth="1"/>
    <col min="1037" max="1037" width="20.28515625" style="120" customWidth="1"/>
    <col min="1038" max="1038" width="21.28515625" style="120" customWidth="1"/>
    <col min="1039" max="1280" width="10" style="120"/>
    <col min="1281" max="1281" width="6.140625" style="120" customWidth="1"/>
    <col min="1282" max="1282" width="32.28515625" style="120" customWidth="1"/>
    <col min="1283" max="1284" width="0" style="120" hidden="1" customWidth="1"/>
    <col min="1285" max="1285" width="13.28515625" style="120" customWidth="1"/>
    <col min="1286" max="1286" width="5.7109375" style="120" customWidth="1"/>
    <col min="1287" max="1287" width="28.28515625" style="120" customWidth="1"/>
    <col min="1288" max="1288" width="18.5703125" style="120" customWidth="1"/>
    <col min="1289" max="1289" width="15.7109375" style="120" customWidth="1"/>
    <col min="1290" max="1290" width="19.140625" style="120" customWidth="1"/>
    <col min="1291" max="1291" width="8.5703125" style="120" customWidth="1"/>
    <col min="1292" max="1292" width="23.28515625" style="120" customWidth="1"/>
    <col min="1293" max="1293" width="20.28515625" style="120" customWidth="1"/>
    <col min="1294" max="1294" width="21.28515625" style="120" customWidth="1"/>
    <col min="1295" max="1536" width="10" style="120"/>
    <col min="1537" max="1537" width="6.140625" style="120" customWidth="1"/>
    <col min="1538" max="1538" width="32.28515625" style="120" customWidth="1"/>
    <col min="1539" max="1540" width="0" style="120" hidden="1" customWidth="1"/>
    <col min="1541" max="1541" width="13.28515625" style="120" customWidth="1"/>
    <col min="1542" max="1542" width="5.7109375" style="120" customWidth="1"/>
    <col min="1543" max="1543" width="28.28515625" style="120" customWidth="1"/>
    <col min="1544" max="1544" width="18.5703125" style="120" customWidth="1"/>
    <col min="1545" max="1545" width="15.7109375" style="120" customWidth="1"/>
    <col min="1546" max="1546" width="19.140625" style="120" customWidth="1"/>
    <col min="1547" max="1547" width="8.5703125" style="120" customWidth="1"/>
    <col min="1548" max="1548" width="23.28515625" style="120" customWidth="1"/>
    <col min="1549" max="1549" width="20.28515625" style="120" customWidth="1"/>
    <col min="1550" max="1550" width="21.28515625" style="120" customWidth="1"/>
    <col min="1551" max="1792" width="10" style="120"/>
    <col min="1793" max="1793" width="6.140625" style="120" customWidth="1"/>
    <col min="1794" max="1794" width="32.28515625" style="120" customWidth="1"/>
    <col min="1795" max="1796" width="0" style="120" hidden="1" customWidth="1"/>
    <col min="1797" max="1797" width="13.28515625" style="120" customWidth="1"/>
    <col min="1798" max="1798" width="5.7109375" style="120" customWidth="1"/>
    <col min="1799" max="1799" width="28.28515625" style="120" customWidth="1"/>
    <col min="1800" max="1800" width="18.5703125" style="120" customWidth="1"/>
    <col min="1801" max="1801" width="15.7109375" style="120" customWidth="1"/>
    <col min="1802" max="1802" width="19.140625" style="120" customWidth="1"/>
    <col min="1803" max="1803" width="8.5703125" style="120" customWidth="1"/>
    <col min="1804" max="1804" width="23.28515625" style="120" customWidth="1"/>
    <col min="1805" max="1805" width="20.28515625" style="120" customWidth="1"/>
    <col min="1806" max="1806" width="21.28515625" style="120" customWidth="1"/>
    <col min="1807" max="2048" width="10" style="120"/>
    <col min="2049" max="2049" width="6.140625" style="120" customWidth="1"/>
    <col min="2050" max="2050" width="32.28515625" style="120" customWidth="1"/>
    <col min="2051" max="2052" width="0" style="120" hidden="1" customWidth="1"/>
    <col min="2053" max="2053" width="13.28515625" style="120" customWidth="1"/>
    <col min="2054" max="2054" width="5.7109375" style="120" customWidth="1"/>
    <col min="2055" max="2055" width="28.28515625" style="120" customWidth="1"/>
    <col min="2056" max="2056" width="18.5703125" style="120" customWidth="1"/>
    <col min="2057" max="2057" width="15.7109375" style="120" customWidth="1"/>
    <col min="2058" max="2058" width="19.140625" style="120" customWidth="1"/>
    <col min="2059" max="2059" width="8.5703125" style="120" customWidth="1"/>
    <col min="2060" max="2060" width="23.28515625" style="120" customWidth="1"/>
    <col min="2061" max="2061" width="20.28515625" style="120" customWidth="1"/>
    <col min="2062" max="2062" width="21.28515625" style="120" customWidth="1"/>
    <col min="2063" max="2304" width="10" style="120"/>
    <col min="2305" max="2305" width="6.140625" style="120" customWidth="1"/>
    <col min="2306" max="2306" width="32.28515625" style="120" customWidth="1"/>
    <col min="2307" max="2308" width="0" style="120" hidden="1" customWidth="1"/>
    <col min="2309" max="2309" width="13.28515625" style="120" customWidth="1"/>
    <col min="2310" max="2310" width="5.7109375" style="120" customWidth="1"/>
    <col min="2311" max="2311" width="28.28515625" style="120" customWidth="1"/>
    <col min="2312" max="2312" width="18.5703125" style="120" customWidth="1"/>
    <col min="2313" max="2313" width="15.7109375" style="120" customWidth="1"/>
    <col min="2314" max="2314" width="19.140625" style="120" customWidth="1"/>
    <col min="2315" max="2315" width="8.5703125" style="120" customWidth="1"/>
    <col min="2316" max="2316" width="23.28515625" style="120" customWidth="1"/>
    <col min="2317" max="2317" width="20.28515625" style="120" customWidth="1"/>
    <col min="2318" max="2318" width="21.28515625" style="120" customWidth="1"/>
    <col min="2319" max="2560" width="10" style="120"/>
    <col min="2561" max="2561" width="6.140625" style="120" customWidth="1"/>
    <col min="2562" max="2562" width="32.28515625" style="120" customWidth="1"/>
    <col min="2563" max="2564" width="0" style="120" hidden="1" customWidth="1"/>
    <col min="2565" max="2565" width="13.28515625" style="120" customWidth="1"/>
    <col min="2566" max="2566" width="5.7109375" style="120" customWidth="1"/>
    <col min="2567" max="2567" width="28.28515625" style="120" customWidth="1"/>
    <col min="2568" max="2568" width="18.5703125" style="120" customWidth="1"/>
    <col min="2569" max="2569" width="15.7109375" style="120" customWidth="1"/>
    <col min="2570" max="2570" width="19.140625" style="120" customWidth="1"/>
    <col min="2571" max="2571" width="8.5703125" style="120" customWidth="1"/>
    <col min="2572" max="2572" width="23.28515625" style="120" customWidth="1"/>
    <col min="2573" max="2573" width="20.28515625" style="120" customWidth="1"/>
    <col min="2574" max="2574" width="21.28515625" style="120" customWidth="1"/>
    <col min="2575" max="2816" width="10" style="120"/>
    <col min="2817" max="2817" width="6.140625" style="120" customWidth="1"/>
    <col min="2818" max="2818" width="32.28515625" style="120" customWidth="1"/>
    <col min="2819" max="2820" width="0" style="120" hidden="1" customWidth="1"/>
    <col min="2821" max="2821" width="13.28515625" style="120" customWidth="1"/>
    <col min="2822" max="2822" width="5.7109375" style="120" customWidth="1"/>
    <col min="2823" max="2823" width="28.28515625" style="120" customWidth="1"/>
    <col min="2824" max="2824" width="18.5703125" style="120" customWidth="1"/>
    <col min="2825" max="2825" width="15.7109375" style="120" customWidth="1"/>
    <col min="2826" max="2826" width="19.140625" style="120" customWidth="1"/>
    <col min="2827" max="2827" width="8.5703125" style="120" customWidth="1"/>
    <col min="2828" max="2828" width="23.28515625" style="120" customWidth="1"/>
    <col min="2829" max="2829" width="20.28515625" style="120" customWidth="1"/>
    <col min="2830" max="2830" width="21.28515625" style="120" customWidth="1"/>
    <col min="2831" max="3072" width="10" style="120"/>
    <col min="3073" max="3073" width="6.140625" style="120" customWidth="1"/>
    <col min="3074" max="3074" width="32.28515625" style="120" customWidth="1"/>
    <col min="3075" max="3076" width="0" style="120" hidden="1" customWidth="1"/>
    <col min="3077" max="3077" width="13.28515625" style="120" customWidth="1"/>
    <col min="3078" max="3078" width="5.7109375" style="120" customWidth="1"/>
    <col min="3079" max="3079" width="28.28515625" style="120" customWidth="1"/>
    <col min="3080" max="3080" width="18.5703125" style="120" customWidth="1"/>
    <col min="3081" max="3081" width="15.7109375" style="120" customWidth="1"/>
    <col min="3082" max="3082" width="19.140625" style="120" customWidth="1"/>
    <col min="3083" max="3083" width="8.5703125" style="120" customWidth="1"/>
    <col min="3084" max="3084" width="23.28515625" style="120" customWidth="1"/>
    <col min="3085" max="3085" width="20.28515625" style="120" customWidth="1"/>
    <col min="3086" max="3086" width="21.28515625" style="120" customWidth="1"/>
    <col min="3087" max="3328" width="10" style="120"/>
    <col min="3329" max="3329" width="6.140625" style="120" customWidth="1"/>
    <col min="3330" max="3330" width="32.28515625" style="120" customWidth="1"/>
    <col min="3331" max="3332" width="0" style="120" hidden="1" customWidth="1"/>
    <col min="3333" max="3333" width="13.28515625" style="120" customWidth="1"/>
    <col min="3334" max="3334" width="5.7109375" style="120" customWidth="1"/>
    <col min="3335" max="3335" width="28.28515625" style="120" customWidth="1"/>
    <col min="3336" max="3336" width="18.5703125" style="120" customWidth="1"/>
    <col min="3337" max="3337" width="15.7109375" style="120" customWidth="1"/>
    <col min="3338" max="3338" width="19.140625" style="120" customWidth="1"/>
    <col min="3339" max="3339" width="8.5703125" style="120" customWidth="1"/>
    <col min="3340" max="3340" width="23.28515625" style="120" customWidth="1"/>
    <col min="3341" max="3341" width="20.28515625" style="120" customWidth="1"/>
    <col min="3342" max="3342" width="21.28515625" style="120" customWidth="1"/>
    <col min="3343" max="3584" width="10" style="120"/>
    <col min="3585" max="3585" width="6.140625" style="120" customWidth="1"/>
    <col min="3586" max="3586" width="32.28515625" style="120" customWidth="1"/>
    <col min="3587" max="3588" width="0" style="120" hidden="1" customWidth="1"/>
    <col min="3589" max="3589" width="13.28515625" style="120" customWidth="1"/>
    <col min="3590" max="3590" width="5.7109375" style="120" customWidth="1"/>
    <col min="3591" max="3591" width="28.28515625" style="120" customWidth="1"/>
    <col min="3592" max="3592" width="18.5703125" style="120" customWidth="1"/>
    <col min="3593" max="3593" width="15.7109375" style="120" customWidth="1"/>
    <col min="3594" max="3594" width="19.140625" style="120" customWidth="1"/>
    <col min="3595" max="3595" width="8.5703125" style="120" customWidth="1"/>
    <col min="3596" max="3596" width="23.28515625" style="120" customWidth="1"/>
    <col min="3597" max="3597" width="20.28515625" style="120" customWidth="1"/>
    <col min="3598" max="3598" width="21.28515625" style="120" customWidth="1"/>
    <col min="3599" max="3840" width="10" style="120"/>
    <col min="3841" max="3841" width="6.140625" style="120" customWidth="1"/>
    <col min="3842" max="3842" width="32.28515625" style="120" customWidth="1"/>
    <col min="3843" max="3844" width="0" style="120" hidden="1" customWidth="1"/>
    <col min="3845" max="3845" width="13.28515625" style="120" customWidth="1"/>
    <col min="3846" max="3846" width="5.7109375" style="120" customWidth="1"/>
    <col min="3847" max="3847" width="28.28515625" style="120" customWidth="1"/>
    <col min="3848" max="3848" width="18.5703125" style="120" customWidth="1"/>
    <col min="3849" max="3849" width="15.7109375" style="120" customWidth="1"/>
    <col min="3850" max="3850" width="19.140625" style="120" customWidth="1"/>
    <col min="3851" max="3851" width="8.5703125" style="120" customWidth="1"/>
    <col min="3852" max="3852" width="23.28515625" style="120" customWidth="1"/>
    <col min="3853" max="3853" width="20.28515625" style="120" customWidth="1"/>
    <col min="3854" max="3854" width="21.28515625" style="120" customWidth="1"/>
    <col min="3855" max="4096" width="10" style="120"/>
    <col min="4097" max="4097" width="6.140625" style="120" customWidth="1"/>
    <col min="4098" max="4098" width="32.28515625" style="120" customWidth="1"/>
    <col min="4099" max="4100" width="0" style="120" hidden="1" customWidth="1"/>
    <col min="4101" max="4101" width="13.28515625" style="120" customWidth="1"/>
    <col min="4102" max="4102" width="5.7109375" style="120" customWidth="1"/>
    <col min="4103" max="4103" width="28.28515625" style="120" customWidth="1"/>
    <col min="4104" max="4104" width="18.5703125" style="120" customWidth="1"/>
    <col min="4105" max="4105" width="15.7109375" style="120" customWidth="1"/>
    <col min="4106" max="4106" width="19.140625" style="120" customWidth="1"/>
    <col min="4107" max="4107" width="8.5703125" style="120" customWidth="1"/>
    <col min="4108" max="4108" width="23.28515625" style="120" customWidth="1"/>
    <col min="4109" max="4109" width="20.28515625" style="120" customWidth="1"/>
    <col min="4110" max="4110" width="21.28515625" style="120" customWidth="1"/>
    <col min="4111" max="4352" width="10" style="120"/>
    <col min="4353" max="4353" width="6.140625" style="120" customWidth="1"/>
    <col min="4354" max="4354" width="32.28515625" style="120" customWidth="1"/>
    <col min="4355" max="4356" width="0" style="120" hidden="1" customWidth="1"/>
    <col min="4357" max="4357" width="13.28515625" style="120" customWidth="1"/>
    <col min="4358" max="4358" width="5.7109375" style="120" customWidth="1"/>
    <col min="4359" max="4359" width="28.28515625" style="120" customWidth="1"/>
    <col min="4360" max="4360" width="18.5703125" style="120" customWidth="1"/>
    <col min="4361" max="4361" width="15.7109375" style="120" customWidth="1"/>
    <col min="4362" max="4362" width="19.140625" style="120" customWidth="1"/>
    <col min="4363" max="4363" width="8.5703125" style="120" customWidth="1"/>
    <col min="4364" max="4364" width="23.28515625" style="120" customWidth="1"/>
    <col min="4365" max="4365" width="20.28515625" style="120" customWidth="1"/>
    <col min="4366" max="4366" width="21.28515625" style="120" customWidth="1"/>
    <col min="4367" max="4608" width="10" style="120"/>
    <col min="4609" max="4609" width="6.140625" style="120" customWidth="1"/>
    <col min="4610" max="4610" width="32.28515625" style="120" customWidth="1"/>
    <col min="4611" max="4612" width="0" style="120" hidden="1" customWidth="1"/>
    <col min="4613" max="4613" width="13.28515625" style="120" customWidth="1"/>
    <col min="4614" max="4614" width="5.7109375" style="120" customWidth="1"/>
    <col min="4615" max="4615" width="28.28515625" style="120" customWidth="1"/>
    <col min="4616" max="4616" width="18.5703125" style="120" customWidth="1"/>
    <col min="4617" max="4617" width="15.7109375" style="120" customWidth="1"/>
    <col min="4618" max="4618" width="19.140625" style="120" customWidth="1"/>
    <col min="4619" max="4619" width="8.5703125" style="120" customWidth="1"/>
    <col min="4620" max="4620" width="23.28515625" style="120" customWidth="1"/>
    <col min="4621" max="4621" width="20.28515625" style="120" customWidth="1"/>
    <col min="4622" max="4622" width="21.28515625" style="120" customWidth="1"/>
    <col min="4623" max="4864" width="10" style="120"/>
    <col min="4865" max="4865" width="6.140625" style="120" customWidth="1"/>
    <col min="4866" max="4866" width="32.28515625" style="120" customWidth="1"/>
    <col min="4867" max="4868" width="0" style="120" hidden="1" customWidth="1"/>
    <col min="4869" max="4869" width="13.28515625" style="120" customWidth="1"/>
    <col min="4870" max="4870" width="5.7109375" style="120" customWidth="1"/>
    <col min="4871" max="4871" width="28.28515625" style="120" customWidth="1"/>
    <col min="4872" max="4872" width="18.5703125" style="120" customWidth="1"/>
    <col min="4873" max="4873" width="15.7109375" style="120" customWidth="1"/>
    <col min="4874" max="4874" width="19.140625" style="120" customWidth="1"/>
    <col min="4875" max="4875" width="8.5703125" style="120" customWidth="1"/>
    <col min="4876" max="4876" width="23.28515625" style="120" customWidth="1"/>
    <col min="4877" max="4877" width="20.28515625" style="120" customWidth="1"/>
    <col min="4878" max="4878" width="21.28515625" style="120" customWidth="1"/>
    <col min="4879" max="5120" width="10" style="120"/>
    <col min="5121" max="5121" width="6.140625" style="120" customWidth="1"/>
    <col min="5122" max="5122" width="32.28515625" style="120" customWidth="1"/>
    <col min="5123" max="5124" width="0" style="120" hidden="1" customWidth="1"/>
    <col min="5125" max="5125" width="13.28515625" style="120" customWidth="1"/>
    <col min="5126" max="5126" width="5.7109375" style="120" customWidth="1"/>
    <col min="5127" max="5127" width="28.28515625" style="120" customWidth="1"/>
    <col min="5128" max="5128" width="18.5703125" style="120" customWidth="1"/>
    <col min="5129" max="5129" width="15.7109375" style="120" customWidth="1"/>
    <col min="5130" max="5130" width="19.140625" style="120" customWidth="1"/>
    <col min="5131" max="5131" width="8.5703125" style="120" customWidth="1"/>
    <col min="5132" max="5132" width="23.28515625" style="120" customWidth="1"/>
    <col min="5133" max="5133" width="20.28515625" style="120" customWidth="1"/>
    <col min="5134" max="5134" width="21.28515625" style="120" customWidth="1"/>
    <col min="5135" max="5376" width="10" style="120"/>
    <col min="5377" max="5377" width="6.140625" style="120" customWidth="1"/>
    <col min="5378" max="5378" width="32.28515625" style="120" customWidth="1"/>
    <col min="5379" max="5380" width="0" style="120" hidden="1" customWidth="1"/>
    <col min="5381" max="5381" width="13.28515625" style="120" customWidth="1"/>
    <col min="5382" max="5382" width="5.7109375" style="120" customWidth="1"/>
    <col min="5383" max="5383" width="28.28515625" style="120" customWidth="1"/>
    <col min="5384" max="5384" width="18.5703125" style="120" customWidth="1"/>
    <col min="5385" max="5385" width="15.7109375" style="120" customWidth="1"/>
    <col min="5386" max="5386" width="19.140625" style="120" customWidth="1"/>
    <col min="5387" max="5387" width="8.5703125" style="120" customWidth="1"/>
    <col min="5388" max="5388" width="23.28515625" style="120" customWidth="1"/>
    <col min="5389" max="5389" width="20.28515625" style="120" customWidth="1"/>
    <col min="5390" max="5390" width="21.28515625" style="120" customWidth="1"/>
    <col min="5391" max="5632" width="10" style="120"/>
    <col min="5633" max="5633" width="6.140625" style="120" customWidth="1"/>
    <col min="5634" max="5634" width="32.28515625" style="120" customWidth="1"/>
    <col min="5635" max="5636" width="0" style="120" hidden="1" customWidth="1"/>
    <col min="5637" max="5637" width="13.28515625" style="120" customWidth="1"/>
    <col min="5638" max="5638" width="5.7109375" style="120" customWidth="1"/>
    <col min="5639" max="5639" width="28.28515625" style="120" customWidth="1"/>
    <col min="5640" max="5640" width="18.5703125" style="120" customWidth="1"/>
    <col min="5641" max="5641" width="15.7109375" style="120" customWidth="1"/>
    <col min="5642" max="5642" width="19.140625" style="120" customWidth="1"/>
    <col min="5643" max="5643" width="8.5703125" style="120" customWidth="1"/>
    <col min="5644" max="5644" width="23.28515625" style="120" customWidth="1"/>
    <col min="5645" max="5645" width="20.28515625" style="120" customWidth="1"/>
    <col min="5646" max="5646" width="21.28515625" style="120" customWidth="1"/>
    <col min="5647" max="5888" width="10" style="120"/>
    <col min="5889" max="5889" width="6.140625" style="120" customWidth="1"/>
    <col min="5890" max="5890" width="32.28515625" style="120" customWidth="1"/>
    <col min="5891" max="5892" width="0" style="120" hidden="1" customWidth="1"/>
    <col min="5893" max="5893" width="13.28515625" style="120" customWidth="1"/>
    <col min="5894" max="5894" width="5.7109375" style="120" customWidth="1"/>
    <col min="5895" max="5895" width="28.28515625" style="120" customWidth="1"/>
    <col min="5896" max="5896" width="18.5703125" style="120" customWidth="1"/>
    <col min="5897" max="5897" width="15.7109375" style="120" customWidth="1"/>
    <col min="5898" max="5898" width="19.140625" style="120" customWidth="1"/>
    <col min="5899" max="5899" width="8.5703125" style="120" customWidth="1"/>
    <col min="5900" max="5900" width="23.28515625" style="120" customWidth="1"/>
    <col min="5901" max="5901" width="20.28515625" style="120" customWidth="1"/>
    <col min="5902" max="5902" width="21.28515625" style="120" customWidth="1"/>
    <col min="5903" max="6144" width="10" style="120"/>
    <col min="6145" max="6145" width="6.140625" style="120" customWidth="1"/>
    <col min="6146" max="6146" width="32.28515625" style="120" customWidth="1"/>
    <col min="6147" max="6148" width="0" style="120" hidden="1" customWidth="1"/>
    <col min="6149" max="6149" width="13.28515625" style="120" customWidth="1"/>
    <col min="6150" max="6150" width="5.7109375" style="120" customWidth="1"/>
    <col min="6151" max="6151" width="28.28515625" style="120" customWidth="1"/>
    <col min="6152" max="6152" width="18.5703125" style="120" customWidth="1"/>
    <col min="6153" max="6153" width="15.7109375" style="120" customWidth="1"/>
    <col min="6154" max="6154" width="19.140625" style="120" customWidth="1"/>
    <col min="6155" max="6155" width="8.5703125" style="120" customWidth="1"/>
    <col min="6156" max="6156" width="23.28515625" style="120" customWidth="1"/>
    <col min="6157" max="6157" width="20.28515625" style="120" customWidth="1"/>
    <col min="6158" max="6158" width="21.28515625" style="120" customWidth="1"/>
    <col min="6159" max="6400" width="10" style="120"/>
    <col min="6401" max="6401" width="6.140625" style="120" customWidth="1"/>
    <col min="6402" max="6402" width="32.28515625" style="120" customWidth="1"/>
    <col min="6403" max="6404" width="0" style="120" hidden="1" customWidth="1"/>
    <col min="6405" max="6405" width="13.28515625" style="120" customWidth="1"/>
    <col min="6406" max="6406" width="5.7109375" style="120" customWidth="1"/>
    <col min="6407" max="6407" width="28.28515625" style="120" customWidth="1"/>
    <col min="6408" max="6408" width="18.5703125" style="120" customWidth="1"/>
    <col min="6409" max="6409" width="15.7109375" style="120" customWidth="1"/>
    <col min="6410" max="6410" width="19.140625" style="120" customWidth="1"/>
    <col min="6411" max="6411" width="8.5703125" style="120" customWidth="1"/>
    <col min="6412" max="6412" width="23.28515625" style="120" customWidth="1"/>
    <col min="6413" max="6413" width="20.28515625" style="120" customWidth="1"/>
    <col min="6414" max="6414" width="21.28515625" style="120" customWidth="1"/>
    <col min="6415" max="6656" width="10" style="120"/>
    <col min="6657" max="6657" width="6.140625" style="120" customWidth="1"/>
    <col min="6658" max="6658" width="32.28515625" style="120" customWidth="1"/>
    <col min="6659" max="6660" width="0" style="120" hidden="1" customWidth="1"/>
    <col min="6661" max="6661" width="13.28515625" style="120" customWidth="1"/>
    <col min="6662" max="6662" width="5.7109375" style="120" customWidth="1"/>
    <col min="6663" max="6663" width="28.28515625" style="120" customWidth="1"/>
    <col min="6664" max="6664" width="18.5703125" style="120" customWidth="1"/>
    <col min="6665" max="6665" width="15.7109375" style="120" customWidth="1"/>
    <col min="6666" max="6666" width="19.140625" style="120" customWidth="1"/>
    <col min="6667" max="6667" width="8.5703125" style="120" customWidth="1"/>
    <col min="6668" max="6668" width="23.28515625" style="120" customWidth="1"/>
    <col min="6669" max="6669" width="20.28515625" style="120" customWidth="1"/>
    <col min="6670" max="6670" width="21.28515625" style="120" customWidth="1"/>
    <col min="6671" max="6912" width="10" style="120"/>
    <col min="6913" max="6913" width="6.140625" style="120" customWidth="1"/>
    <col min="6914" max="6914" width="32.28515625" style="120" customWidth="1"/>
    <col min="6915" max="6916" width="0" style="120" hidden="1" customWidth="1"/>
    <col min="6917" max="6917" width="13.28515625" style="120" customWidth="1"/>
    <col min="6918" max="6918" width="5.7109375" style="120" customWidth="1"/>
    <col min="6919" max="6919" width="28.28515625" style="120" customWidth="1"/>
    <col min="6920" max="6920" width="18.5703125" style="120" customWidth="1"/>
    <col min="6921" max="6921" width="15.7109375" style="120" customWidth="1"/>
    <col min="6922" max="6922" width="19.140625" style="120" customWidth="1"/>
    <col min="6923" max="6923" width="8.5703125" style="120" customWidth="1"/>
    <col min="6924" max="6924" width="23.28515625" style="120" customWidth="1"/>
    <col min="6925" max="6925" width="20.28515625" style="120" customWidth="1"/>
    <col min="6926" max="6926" width="21.28515625" style="120" customWidth="1"/>
    <col min="6927" max="7168" width="10" style="120"/>
    <col min="7169" max="7169" width="6.140625" style="120" customWidth="1"/>
    <col min="7170" max="7170" width="32.28515625" style="120" customWidth="1"/>
    <col min="7171" max="7172" width="0" style="120" hidden="1" customWidth="1"/>
    <col min="7173" max="7173" width="13.28515625" style="120" customWidth="1"/>
    <col min="7174" max="7174" width="5.7109375" style="120" customWidth="1"/>
    <col min="7175" max="7175" width="28.28515625" style="120" customWidth="1"/>
    <col min="7176" max="7176" width="18.5703125" style="120" customWidth="1"/>
    <col min="7177" max="7177" width="15.7109375" style="120" customWidth="1"/>
    <col min="7178" max="7178" width="19.140625" style="120" customWidth="1"/>
    <col min="7179" max="7179" width="8.5703125" style="120" customWidth="1"/>
    <col min="7180" max="7180" width="23.28515625" style="120" customWidth="1"/>
    <col min="7181" max="7181" width="20.28515625" style="120" customWidth="1"/>
    <col min="7182" max="7182" width="21.28515625" style="120" customWidth="1"/>
    <col min="7183" max="7424" width="10" style="120"/>
    <col min="7425" max="7425" width="6.140625" style="120" customWidth="1"/>
    <col min="7426" max="7426" width="32.28515625" style="120" customWidth="1"/>
    <col min="7427" max="7428" width="0" style="120" hidden="1" customWidth="1"/>
    <col min="7429" max="7429" width="13.28515625" style="120" customWidth="1"/>
    <col min="7430" max="7430" width="5.7109375" style="120" customWidth="1"/>
    <col min="7431" max="7431" width="28.28515625" style="120" customWidth="1"/>
    <col min="7432" max="7432" width="18.5703125" style="120" customWidth="1"/>
    <col min="7433" max="7433" width="15.7109375" style="120" customWidth="1"/>
    <col min="7434" max="7434" width="19.140625" style="120" customWidth="1"/>
    <col min="7435" max="7435" width="8.5703125" style="120" customWidth="1"/>
    <col min="7436" max="7436" width="23.28515625" style="120" customWidth="1"/>
    <col min="7437" max="7437" width="20.28515625" style="120" customWidth="1"/>
    <col min="7438" max="7438" width="21.28515625" style="120" customWidth="1"/>
    <col min="7439" max="7680" width="10" style="120"/>
    <col min="7681" max="7681" width="6.140625" style="120" customWidth="1"/>
    <col min="7682" max="7682" width="32.28515625" style="120" customWidth="1"/>
    <col min="7683" max="7684" width="0" style="120" hidden="1" customWidth="1"/>
    <col min="7685" max="7685" width="13.28515625" style="120" customWidth="1"/>
    <col min="7686" max="7686" width="5.7109375" style="120" customWidth="1"/>
    <col min="7687" max="7687" width="28.28515625" style="120" customWidth="1"/>
    <col min="7688" max="7688" width="18.5703125" style="120" customWidth="1"/>
    <col min="7689" max="7689" width="15.7109375" style="120" customWidth="1"/>
    <col min="7690" max="7690" width="19.140625" style="120" customWidth="1"/>
    <col min="7691" max="7691" width="8.5703125" style="120" customWidth="1"/>
    <col min="7692" max="7692" width="23.28515625" style="120" customWidth="1"/>
    <col min="7693" max="7693" width="20.28515625" style="120" customWidth="1"/>
    <col min="7694" max="7694" width="21.28515625" style="120" customWidth="1"/>
    <col min="7695" max="7936" width="10" style="120"/>
    <col min="7937" max="7937" width="6.140625" style="120" customWidth="1"/>
    <col min="7938" max="7938" width="32.28515625" style="120" customWidth="1"/>
    <col min="7939" max="7940" width="0" style="120" hidden="1" customWidth="1"/>
    <col min="7941" max="7941" width="13.28515625" style="120" customWidth="1"/>
    <col min="7942" max="7942" width="5.7109375" style="120" customWidth="1"/>
    <col min="7943" max="7943" width="28.28515625" style="120" customWidth="1"/>
    <col min="7944" max="7944" width="18.5703125" style="120" customWidth="1"/>
    <col min="7945" max="7945" width="15.7109375" style="120" customWidth="1"/>
    <col min="7946" max="7946" width="19.140625" style="120" customWidth="1"/>
    <col min="7947" max="7947" width="8.5703125" style="120" customWidth="1"/>
    <col min="7948" max="7948" width="23.28515625" style="120" customWidth="1"/>
    <col min="7949" max="7949" width="20.28515625" style="120" customWidth="1"/>
    <col min="7950" max="7950" width="21.28515625" style="120" customWidth="1"/>
    <col min="7951" max="8192" width="10" style="120"/>
    <col min="8193" max="8193" width="6.140625" style="120" customWidth="1"/>
    <col min="8194" max="8194" width="32.28515625" style="120" customWidth="1"/>
    <col min="8195" max="8196" width="0" style="120" hidden="1" customWidth="1"/>
    <col min="8197" max="8197" width="13.28515625" style="120" customWidth="1"/>
    <col min="8198" max="8198" width="5.7109375" style="120" customWidth="1"/>
    <col min="8199" max="8199" width="28.28515625" style="120" customWidth="1"/>
    <col min="8200" max="8200" width="18.5703125" style="120" customWidth="1"/>
    <col min="8201" max="8201" width="15.7109375" style="120" customWidth="1"/>
    <col min="8202" max="8202" width="19.140625" style="120" customWidth="1"/>
    <col min="8203" max="8203" width="8.5703125" style="120" customWidth="1"/>
    <col min="8204" max="8204" width="23.28515625" style="120" customWidth="1"/>
    <col min="8205" max="8205" width="20.28515625" style="120" customWidth="1"/>
    <col min="8206" max="8206" width="21.28515625" style="120" customWidth="1"/>
    <col min="8207" max="8448" width="10" style="120"/>
    <col min="8449" max="8449" width="6.140625" style="120" customWidth="1"/>
    <col min="8450" max="8450" width="32.28515625" style="120" customWidth="1"/>
    <col min="8451" max="8452" width="0" style="120" hidden="1" customWidth="1"/>
    <col min="8453" max="8453" width="13.28515625" style="120" customWidth="1"/>
    <col min="8454" max="8454" width="5.7109375" style="120" customWidth="1"/>
    <col min="8455" max="8455" width="28.28515625" style="120" customWidth="1"/>
    <col min="8456" max="8456" width="18.5703125" style="120" customWidth="1"/>
    <col min="8457" max="8457" width="15.7109375" style="120" customWidth="1"/>
    <col min="8458" max="8458" width="19.140625" style="120" customWidth="1"/>
    <col min="8459" max="8459" width="8.5703125" style="120" customWidth="1"/>
    <col min="8460" max="8460" width="23.28515625" style="120" customWidth="1"/>
    <col min="8461" max="8461" width="20.28515625" style="120" customWidth="1"/>
    <col min="8462" max="8462" width="21.28515625" style="120" customWidth="1"/>
    <col min="8463" max="8704" width="10" style="120"/>
    <col min="8705" max="8705" width="6.140625" style="120" customWidth="1"/>
    <col min="8706" max="8706" width="32.28515625" style="120" customWidth="1"/>
    <col min="8707" max="8708" width="0" style="120" hidden="1" customWidth="1"/>
    <col min="8709" max="8709" width="13.28515625" style="120" customWidth="1"/>
    <col min="8710" max="8710" width="5.7109375" style="120" customWidth="1"/>
    <col min="8711" max="8711" width="28.28515625" style="120" customWidth="1"/>
    <col min="8712" max="8712" width="18.5703125" style="120" customWidth="1"/>
    <col min="8713" max="8713" width="15.7109375" style="120" customWidth="1"/>
    <col min="8714" max="8714" width="19.140625" style="120" customWidth="1"/>
    <col min="8715" max="8715" width="8.5703125" style="120" customWidth="1"/>
    <col min="8716" max="8716" width="23.28515625" style="120" customWidth="1"/>
    <col min="8717" max="8717" width="20.28515625" style="120" customWidth="1"/>
    <col min="8718" max="8718" width="21.28515625" style="120" customWidth="1"/>
    <col min="8719" max="8960" width="10" style="120"/>
    <col min="8961" max="8961" width="6.140625" style="120" customWidth="1"/>
    <col min="8962" max="8962" width="32.28515625" style="120" customWidth="1"/>
    <col min="8963" max="8964" width="0" style="120" hidden="1" customWidth="1"/>
    <col min="8965" max="8965" width="13.28515625" style="120" customWidth="1"/>
    <col min="8966" max="8966" width="5.7109375" style="120" customWidth="1"/>
    <col min="8967" max="8967" width="28.28515625" style="120" customWidth="1"/>
    <col min="8968" max="8968" width="18.5703125" style="120" customWidth="1"/>
    <col min="8969" max="8969" width="15.7109375" style="120" customWidth="1"/>
    <col min="8970" max="8970" width="19.140625" style="120" customWidth="1"/>
    <col min="8971" max="8971" width="8.5703125" style="120" customWidth="1"/>
    <col min="8972" max="8972" width="23.28515625" style="120" customWidth="1"/>
    <col min="8973" max="8973" width="20.28515625" style="120" customWidth="1"/>
    <col min="8974" max="8974" width="21.28515625" style="120" customWidth="1"/>
    <col min="8975" max="9216" width="10" style="120"/>
    <col min="9217" max="9217" width="6.140625" style="120" customWidth="1"/>
    <col min="9218" max="9218" width="32.28515625" style="120" customWidth="1"/>
    <col min="9219" max="9220" width="0" style="120" hidden="1" customWidth="1"/>
    <col min="9221" max="9221" width="13.28515625" style="120" customWidth="1"/>
    <col min="9222" max="9222" width="5.7109375" style="120" customWidth="1"/>
    <col min="9223" max="9223" width="28.28515625" style="120" customWidth="1"/>
    <col min="9224" max="9224" width="18.5703125" style="120" customWidth="1"/>
    <col min="9225" max="9225" width="15.7109375" style="120" customWidth="1"/>
    <col min="9226" max="9226" width="19.140625" style="120" customWidth="1"/>
    <col min="9227" max="9227" width="8.5703125" style="120" customWidth="1"/>
    <col min="9228" max="9228" width="23.28515625" style="120" customWidth="1"/>
    <col min="9229" max="9229" width="20.28515625" style="120" customWidth="1"/>
    <col min="9230" max="9230" width="21.28515625" style="120" customWidth="1"/>
    <col min="9231" max="9472" width="10" style="120"/>
    <col min="9473" max="9473" width="6.140625" style="120" customWidth="1"/>
    <col min="9474" max="9474" width="32.28515625" style="120" customWidth="1"/>
    <col min="9475" max="9476" width="0" style="120" hidden="1" customWidth="1"/>
    <col min="9477" max="9477" width="13.28515625" style="120" customWidth="1"/>
    <col min="9478" max="9478" width="5.7109375" style="120" customWidth="1"/>
    <col min="9479" max="9479" width="28.28515625" style="120" customWidth="1"/>
    <col min="9480" max="9480" width="18.5703125" style="120" customWidth="1"/>
    <col min="9481" max="9481" width="15.7109375" style="120" customWidth="1"/>
    <col min="9482" max="9482" width="19.140625" style="120" customWidth="1"/>
    <col min="9483" max="9483" width="8.5703125" style="120" customWidth="1"/>
    <col min="9484" max="9484" width="23.28515625" style="120" customWidth="1"/>
    <col min="9485" max="9485" width="20.28515625" style="120" customWidth="1"/>
    <col min="9486" max="9486" width="21.28515625" style="120" customWidth="1"/>
    <col min="9487" max="9728" width="10" style="120"/>
    <col min="9729" max="9729" width="6.140625" style="120" customWidth="1"/>
    <col min="9730" max="9730" width="32.28515625" style="120" customWidth="1"/>
    <col min="9731" max="9732" width="0" style="120" hidden="1" customWidth="1"/>
    <col min="9733" max="9733" width="13.28515625" style="120" customWidth="1"/>
    <col min="9734" max="9734" width="5.7109375" style="120" customWidth="1"/>
    <col min="9735" max="9735" width="28.28515625" style="120" customWidth="1"/>
    <col min="9736" max="9736" width="18.5703125" style="120" customWidth="1"/>
    <col min="9737" max="9737" width="15.7109375" style="120" customWidth="1"/>
    <col min="9738" max="9738" width="19.140625" style="120" customWidth="1"/>
    <col min="9739" max="9739" width="8.5703125" style="120" customWidth="1"/>
    <col min="9740" max="9740" width="23.28515625" style="120" customWidth="1"/>
    <col min="9741" max="9741" width="20.28515625" style="120" customWidth="1"/>
    <col min="9742" max="9742" width="21.28515625" style="120" customWidth="1"/>
    <col min="9743" max="9984" width="10" style="120"/>
    <col min="9985" max="9985" width="6.140625" style="120" customWidth="1"/>
    <col min="9986" max="9986" width="32.28515625" style="120" customWidth="1"/>
    <col min="9987" max="9988" width="0" style="120" hidden="1" customWidth="1"/>
    <col min="9989" max="9989" width="13.28515625" style="120" customWidth="1"/>
    <col min="9990" max="9990" width="5.7109375" style="120" customWidth="1"/>
    <col min="9991" max="9991" width="28.28515625" style="120" customWidth="1"/>
    <col min="9992" max="9992" width="18.5703125" style="120" customWidth="1"/>
    <col min="9993" max="9993" width="15.7109375" style="120" customWidth="1"/>
    <col min="9994" max="9994" width="19.140625" style="120" customWidth="1"/>
    <col min="9995" max="9995" width="8.5703125" style="120" customWidth="1"/>
    <col min="9996" max="9996" width="23.28515625" style="120" customWidth="1"/>
    <col min="9997" max="9997" width="20.28515625" style="120" customWidth="1"/>
    <col min="9998" max="9998" width="21.28515625" style="120" customWidth="1"/>
    <col min="9999" max="10240" width="10" style="120"/>
    <col min="10241" max="10241" width="6.140625" style="120" customWidth="1"/>
    <col min="10242" max="10242" width="32.28515625" style="120" customWidth="1"/>
    <col min="10243" max="10244" width="0" style="120" hidden="1" customWidth="1"/>
    <col min="10245" max="10245" width="13.28515625" style="120" customWidth="1"/>
    <col min="10246" max="10246" width="5.7109375" style="120" customWidth="1"/>
    <col min="10247" max="10247" width="28.28515625" style="120" customWidth="1"/>
    <col min="10248" max="10248" width="18.5703125" style="120" customWidth="1"/>
    <col min="10249" max="10249" width="15.7109375" style="120" customWidth="1"/>
    <col min="10250" max="10250" width="19.140625" style="120" customWidth="1"/>
    <col min="10251" max="10251" width="8.5703125" style="120" customWidth="1"/>
    <col min="10252" max="10252" width="23.28515625" style="120" customWidth="1"/>
    <col min="10253" max="10253" width="20.28515625" style="120" customWidth="1"/>
    <col min="10254" max="10254" width="21.28515625" style="120" customWidth="1"/>
    <col min="10255" max="10496" width="10" style="120"/>
    <col min="10497" max="10497" width="6.140625" style="120" customWidth="1"/>
    <col min="10498" max="10498" width="32.28515625" style="120" customWidth="1"/>
    <col min="10499" max="10500" width="0" style="120" hidden="1" customWidth="1"/>
    <col min="10501" max="10501" width="13.28515625" style="120" customWidth="1"/>
    <col min="10502" max="10502" width="5.7109375" style="120" customWidth="1"/>
    <col min="10503" max="10503" width="28.28515625" style="120" customWidth="1"/>
    <col min="10504" max="10504" width="18.5703125" style="120" customWidth="1"/>
    <col min="10505" max="10505" width="15.7109375" style="120" customWidth="1"/>
    <col min="10506" max="10506" width="19.140625" style="120" customWidth="1"/>
    <col min="10507" max="10507" width="8.5703125" style="120" customWidth="1"/>
    <col min="10508" max="10508" width="23.28515625" style="120" customWidth="1"/>
    <col min="10509" max="10509" width="20.28515625" style="120" customWidth="1"/>
    <col min="10510" max="10510" width="21.28515625" style="120" customWidth="1"/>
    <col min="10511" max="10752" width="10" style="120"/>
    <col min="10753" max="10753" width="6.140625" style="120" customWidth="1"/>
    <col min="10754" max="10754" width="32.28515625" style="120" customWidth="1"/>
    <col min="10755" max="10756" width="0" style="120" hidden="1" customWidth="1"/>
    <col min="10757" max="10757" width="13.28515625" style="120" customWidth="1"/>
    <col min="10758" max="10758" width="5.7109375" style="120" customWidth="1"/>
    <col min="10759" max="10759" width="28.28515625" style="120" customWidth="1"/>
    <col min="10760" max="10760" width="18.5703125" style="120" customWidth="1"/>
    <col min="10761" max="10761" width="15.7109375" style="120" customWidth="1"/>
    <col min="10762" max="10762" width="19.140625" style="120" customWidth="1"/>
    <col min="10763" max="10763" width="8.5703125" style="120" customWidth="1"/>
    <col min="10764" max="10764" width="23.28515625" style="120" customWidth="1"/>
    <col min="10765" max="10765" width="20.28515625" style="120" customWidth="1"/>
    <col min="10766" max="10766" width="21.28515625" style="120" customWidth="1"/>
    <col min="10767" max="11008" width="10" style="120"/>
    <col min="11009" max="11009" width="6.140625" style="120" customWidth="1"/>
    <col min="11010" max="11010" width="32.28515625" style="120" customWidth="1"/>
    <col min="11011" max="11012" width="0" style="120" hidden="1" customWidth="1"/>
    <col min="11013" max="11013" width="13.28515625" style="120" customWidth="1"/>
    <col min="11014" max="11014" width="5.7109375" style="120" customWidth="1"/>
    <col min="11015" max="11015" width="28.28515625" style="120" customWidth="1"/>
    <col min="11016" max="11016" width="18.5703125" style="120" customWidth="1"/>
    <col min="11017" max="11017" width="15.7109375" style="120" customWidth="1"/>
    <col min="11018" max="11018" width="19.140625" style="120" customWidth="1"/>
    <col min="11019" max="11019" width="8.5703125" style="120" customWidth="1"/>
    <col min="11020" max="11020" width="23.28515625" style="120" customWidth="1"/>
    <col min="11021" max="11021" width="20.28515625" style="120" customWidth="1"/>
    <col min="11022" max="11022" width="21.28515625" style="120" customWidth="1"/>
    <col min="11023" max="11264" width="10" style="120"/>
    <col min="11265" max="11265" width="6.140625" style="120" customWidth="1"/>
    <col min="11266" max="11266" width="32.28515625" style="120" customWidth="1"/>
    <col min="11267" max="11268" width="0" style="120" hidden="1" customWidth="1"/>
    <col min="11269" max="11269" width="13.28515625" style="120" customWidth="1"/>
    <col min="11270" max="11270" width="5.7109375" style="120" customWidth="1"/>
    <col min="11271" max="11271" width="28.28515625" style="120" customWidth="1"/>
    <col min="11272" max="11272" width="18.5703125" style="120" customWidth="1"/>
    <col min="11273" max="11273" width="15.7109375" style="120" customWidth="1"/>
    <col min="11274" max="11274" width="19.140625" style="120" customWidth="1"/>
    <col min="11275" max="11275" width="8.5703125" style="120" customWidth="1"/>
    <col min="11276" max="11276" width="23.28515625" style="120" customWidth="1"/>
    <col min="11277" max="11277" width="20.28515625" style="120" customWidth="1"/>
    <col min="11278" max="11278" width="21.28515625" style="120" customWidth="1"/>
    <col min="11279" max="11520" width="10" style="120"/>
    <col min="11521" max="11521" width="6.140625" style="120" customWidth="1"/>
    <col min="11522" max="11522" width="32.28515625" style="120" customWidth="1"/>
    <col min="11523" max="11524" width="0" style="120" hidden="1" customWidth="1"/>
    <col min="11525" max="11525" width="13.28515625" style="120" customWidth="1"/>
    <col min="11526" max="11526" width="5.7109375" style="120" customWidth="1"/>
    <col min="11527" max="11527" width="28.28515625" style="120" customWidth="1"/>
    <col min="11528" max="11528" width="18.5703125" style="120" customWidth="1"/>
    <col min="11529" max="11529" width="15.7109375" style="120" customWidth="1"/>
    <col min="11530" max="11530" width="19.140625" style="120" customWidth="1"/>
    <col min="11531" max="11531" width="8.5703125" style="120" customWidth="1"/>
    <col min="11532" max="11532" width="23.28515625" style="120" customWidth="1"/>
    <col min="11533" max="11533" width="20.28515625" style="120" customWidth="1"/>
    <col min="11534" max="11534" width="21.28515625" style="120" customWidth="1"/>
    <col min="11535" max="11776" width="10" style="120"/>
    <col min="11777" max="11777" width="6.140625" style="120" customWidth="1"/>
    <col min="11778" max="11778" width="32.28515625" style="120" customWidth="1"/>
    <col min="11779" max="11780" width="0" style="120" hidden="1" customWidth="1"/>
    <col min="11781" max="11781" width="13.28515625" style="120" customWidth="1"/>
    <col min="11782" max="11782" width="5.7109375" style="120" customWidth="1"/>
    <col min="11783" max="11783" width="28.28515625" style="120" customWidth="1"/>
    <col min="11784" max="11784" width="18.5703125" style="120" customWidth="1"/>
    <col min="11785" max="11785" width="15.7109375" style="120" customWidth="1"/>
    <col min="11786" max="11786" width="19.140625" style="120" customWidth="1"/>
    <col min="11787" max="11787" width="8.5703125" style="120" customWidth="1"/>
    <col min="11788" max="11788" width="23.28515625" style="120" customWidth="1"/>
    <col min="11789" max="11789" width="20.28515625" style="120" customWidth="1"/>
    <col min="11790" max="11790" width="21.28515625" style="120" customWidth="1"/>
    <col min="11791" max="12032" width="10" style="120"/>
    <col min="12033" max="12033" width="6.140625" style="120" customWidth="1"/>
    <col min="12034" max="12034" width="32.28515625" style="120" customWidth="1"/>
    <col min="12035" max="12036" width="0" style="120" hidden="1" customWidth="1"/>
    <col min="12037" max="12037" width="13.28515625" style="120" customWidth="1"/>
    <col min="12038" max="12038" width="5.7109375" style="120" customWidth="1"/>
    <col min="12039" max="12039" width="28.28515625" style="120" customWidth="1"/>
    <col min="12040" max="12040" width="18.5703125" style="120" customWidth="1"/>
    <col min="12041" max="12041" width="15.7109375" style="120" customWidth="1"/>
    <col min="12042" max="12042" width="19.140625" style="120" customWidth="1"/>
    <col min="12043" max="12043" width="8.5703125" style="120" customWidth="1"/>
    <col min="12044" max="12044" width="23.28515625" style="120" customWidth="1"/>
    <col min="12045" max="12045" width="20.28515625" style="120" customWidth="1"/>
    <col min="12046" max="12046" width="21.28515625" style="120" customWidth="1"/>
    <col min="12047" max="12288" width="10" style="120"/>
    <col min="12289" max="12289" width="6.140625" style="120" customWidth="1"/>
    <col min="12290" max="12290" width="32.28515625" style="120" customWidth="1"/>
    <col min="12291" max="12292" width="0" style="120" hidden="1" customWidth="1"/>
    <col min="12293" max="12293" width="13.28515625" style="120" customWidth="1"/>
    <col min="12294" max="12294" width="5.7109375" style="120" customWidth="1"/>
    <col min="12295" max="12295" width="28.28515625" style="120" customWidth="1"/>
    <col min="12296" max="12296" width="18.5703125" style="120" customWidth="1"/>
    <col min="12297" max="12297" width="15.7109375" style="120" customWidth="1"/>
    <col min="12298" max="12298" width="19.140625" style="120" customWidth="1"/>
    <col min="12299" max="12299" width="8.5703125" style="120" customWidth="1"/>
    <col min="12300" max="12300" width="23.28515625" style="120" customWidth="1"/>
    <col min="12301" max="12301" width="20.28515625" style="120" customWidth="1"/>
    <col min="12302" max="12302" width="21.28515625" style="120" customWidth="1"/>
    <col min="12303" max="12544" width="10" style="120"/>
    <col min="12545" max="12545" width="6.140625" style="120" customWidth="1"/>
    <col min="12546" max="12546" width="32.28515625" style="120" customWidth="1"/>
    <col min="12547" max="12548" width="0" style="120" hidden="1" customWidth="1"/>
    <col min="12549" max="12549" width="13.28515625" style="120" customWidth="1"/>
    <col min="12550" max="12550" width="5.7109375" style="120" customWidth="1"/>
    <col min="12551" max="12551" width="28.28515625" style="120" customWidth="1"/>
    <col min="12552" max="12552" width="18.5703125" style="120" customWidth="1"/>
    <col min="12553" max="12553" width="15.7109375" style="120" customWidth="1"/>
    <col min="12554" max="12554" width="19.140625" style="120" customWidth="1"/>
    <col min="12555" max="12555" width="8.5703125" style="120" customWidth="1"/>
    <col min="12556" max="12556" width="23.28515625" style="120" customWidth="1"/>
    <col min="12557" max="12557" width="20.28515625" style="120" customWidth="1"/>
    <col min="12558" max="12558" width="21.28515625" style="120" customWidth="1"/>
    <col min="12559" max="12800" width="10" style="120"/>
    <col min="12801" max="12801" width="6.140625" style="120" customWidth="1"/>
    <col min="12802" max="12802" width="32.28515625" style="120" customWidth="1"/>
    <col min="12803" max="12804" width="0" style="120" hidden="1" customWidth="1"/>
    <col min="12805" max="12805" width="13.28515625" style="120" customWidth="1"/>
    <col min="12806" max="12806" width="5.7109375" style="120" customWidth="1"/>
    <col min="12807" max="12807" width="28.28515625" style="120" customWidth="1"/>
    <col min="12808" max="12808" width="18.5703125" style="120" customWidth="1"/>
    <col min="12809" max="12809" width="15.7109375" style="120" customWidth="1"/>
    <col min="12810" max="12810" width="19.140625" style="120" customWidth="1"/>
    <col min="12811" max="12811" width="8.5703125" style="120" customWidth="1"/>
    <col min="12812" max="12812" width="23.28515625" style="120" customWidth="1"/>
    <col min="12813" max="12813" width="20.28515625" style="120" customWidth="1"/>
    <col min="12814" max="12814" width="21.28515625" style="120" customWidth="1"/>
    <col min="12815" max="13056" width="10" style="120"/>
    <col min="13057" max="13057" width="6.140625" style="120" customWidth="1"/>
    <col min="13058" max="13058" width="32.28515625" style="120" customWidth="1"/>
    <col min="13059" max="13060" width="0" style="120" hidden="1" customWidth="1"/>
    <col min="13061" max="13061" width="13.28515625" style="120" customWidth="1"/>
    <col min="13062" max="13062" width="5.7109375" style="120" customWidth="1"/>
    <col min="13063" max="13063" width="28.28515625" style="120" customWidth="1"/>
    <col min="13064" max="13064" width="18.5703125" style="120" customWidth="1"/>
    <col min="13065" max="13065" width="15.7109375" style="120" customWidth="1"/>
    <col min="13066" max="13066" width="19.140625" style="120" customWidth="1"/>
    <col min="13067" max="13067" width="8.5703125" style="120" customWidth="1"/>
    <col min="13068" max="13068" width="23.28515625" style="120" customWidth="1"/>
    <col min="13069" max="13069" width="20.28515625" style="120" customWidth="1"/>
    <col min="13070" max="13070" width="21.28515625" style="120" customWidth="1"/>
    <col min="13071" max="13312" width="10" style="120"/>
    <col min="13313" max="13313" width="6.140625" style="120" customWidth="1"/>
    <col min="13314" max="13314" width="32.28515625" style="120" customWidth="1"/>
    <col min="13315" max="13316" width="0" style="120" hidden="1" customWidth="1"/>
    <col min="13317" max="13317" width="13.28515625" style="120" customWidth="1"/>
    <col min="13318" max="13318" width="5.7109375" style="120" customWidth="1"/>
    <col min="13319" max="13319" width="28.28515625" style="120" customWidth="1"/>
    <col min="13320" max="13320" width="18.5703125" style="120" customWidth="1"/>
    <col min="13321" max="13321" width="15.7109375" style="120" customWidth="1"/>
    <col min="13322" max="13322" width="19.140625" style="120" customWidth="1"/>
    <col min="13323" max="13323" width="8.5703125" style="120" customWidth="1"/>
    <col min="13324" max="13324" width="23.28515625" style="120" customWidth="1"/>
    <col min="13325" max="13325" width="20.28515625" style="120" customWidth="1"/>
    <col min="13326" max="13326" width="21.28515625" style="120" customWidth="1"/>
    <col min="13327" max="13568" width="10" style="120"/>
    <col min="13569" max="13569" width="6.140625" style="120" customWidth="1"/>
    <col min="13570" max="13570" width="32.28515625" style="120" customWidth="1"/>
    <col min="13571" max="13572" width="0" style="120" hidden="1" customWidth="1"/>
    <col min="13573" max="13573" width="13.28515625" style="120" customWidth="1"/>
    <col min="13574" max="13574" width="5.7109375" style="120" customWidth="1"/>
    <col min="13575" max="13575" width="28.28515625" style="120" customWidth="1"/>
    <col min="13576" max="13576" width="18.5703125" style="120" customWidth="1"/>
    <col min="13577" max="13577" width="15.7109375" style="120" customWidth="1"/>
    <col min="13578" max="13578" width="19.140625" style="120" customWidth="1"/>
    <col min="13579" max="13579" width="8.5703125" style="120" customWidth="1"/>
    <col min="13580" max="13580" width="23.28515625" style="120" customWidth="1"/>
    <col min="13581" max="13581" width="20.28515625" style="120" customWidth="1"/>
    <col min="13582" max="13582" width="21.28515625" style="120" customWidth="1"/>
    <col min="13583" max="13824" width="10" style="120"/>
    <col min="13825" max="13825" width="6.140625" style="120" customWidth="1"/>
    <col min="13826" max="13826" width="32.28515625" style="120" customWidth="1"/>
    <col min="13827" max="13828" width="0" style="120" hidden="1" customWidth="1"/>
    <col min="13829" max="13829" width="13.28515625" style="120" customWidth="1"/>
    <col min="13830" max="13830" width="5.7109375" style="120" customWidth="1"/>
    <col min="13831" max="13831" width="28.28515625" style="120" customWidth="1"/>
    <col min="13832" max="13832" width="18.5703125" style="120" customWidth="1"/>
    <col min="13833" max="13833" width="15.7109375" style="120" customWidth="1"/>
    <col min="13834" max="13834" width="19.140625" style="120" customWidth="1"/>
    <col min="13835" max="13835" width="8.5703125" style="120" customWidth="1"/>
    <col min="13836" max="13836" width="23.28515625" style="120" customWidth="1"/>
    <col min="13837" max="13837" width="20.28515625" style="120" customWidth="1"/>
    <col min="13838" max="13838" width="21.28515625" style="120" customWidth="1"/>
    <col min="13839" max="14080" width="10" style="120"/>
    <col min="14081" max="14081" width="6.140625" style="120" customWidth="1"/>
    <col min="14082" max="14082" width="32.28515625" style="120" customWidth="1"/>
    <col min="14083" max="14084" width="0" style="120" hidden="1" customWidth="1"/>
    <col min="14085" max="14085" width="13.28515625" style="120" customWidth="1"/>
    <col min="14086" max="14086" width="5.7109375" style="120" customWidth="1"/>
    <col min="14087" max="14087" width="28.28515625" style="120" customWidth="1"/>
    <col min="14088" max="14088" width="18.5703125" style="120" customWidth="1"/>
    <col min="14089" max="14089" width="15.7109375" style="120" customWidth="1"/>
    <col min="14090" max="14090" width="19.140625" style="120" customWidth="1"/>
    <col min="14091" max="14091" width="8.5703125" style="120" customWidth="1"/>
    <col min="14092" max="14092" width="23.28515625" style="120" customWidth="1"/>
    <col min="14093" max="14093" width="20.28515625" style="120" customWidth="1"/>
    <col min="14094" max="14094" width="21.28515625" style="120" customWidth="1"/>
    <col min="14095" max="14336" width="10" style="120"/>
    <col min="14337" max="14337" width="6.140625" style="120" customWidth="1"/>
    <col min="14338" max="14338" width="32.28515625" style="120" customWidth="1"/>
    <col min="14339" max="14340" width="0" style="120" hidden="1" customWidth="1"/>
    <col min="14341" max="14341" width="13.28515625" style="120" customWidth="1"/>
    <col min="14342" max="14342" width="5.7109375" style="120" customWidth="1"/>
    <col min="14343" max="14343" width="28.28515625" style="120" customWidth="1"/>
    <col min="14344" max="14344" width="18.5703125" style="120" customWidth="1"/>
    <col min="14345" max="14345" width="15.7109375" style="120" customWidth="1"/>
    <col min="14346" max="14346" width="19.140625" style="120" customWidth="1"/>
    <col min="14347" max="14347" width="8.5703125" style="120" customWidth="1"/>
    <col min="14348" max="14348" width="23.28515625" style="120" customWidth="1"/>
    <col min="14349" max="14349" width="20.28515625" style="120" customWidth="1"/>
    <col min="14350" max="14350" width="21.28515625" style="120" customWidth="1"/>
    <col min="14351" max="14592" width="10" style="120"/>
    <col min="14593" max="14593" width="6.140625" style="120" customWidth="1"/>
    <col min="14594" max="14594" width="32.28515625" style="120" customWidth="1"/>
    <col min="14595" max="14596" width="0" style="120" hidden="1" customWidth="1"/>
    <col min="14597" max="14597" width="13.28515625" style="120" customWidth="1"/>
    <col min="14598" max="14598" width="5.7109375" style="120" customWidth="1"/>
    <col min="14599" max="14599" width="28.28515625" style="120" customWidth="1"/>
    <col min="14600" max="14600" width="18.5703125" style="120" customWidth="1"/>
    <col min="14601" max="14601" width="15.7109375" style="120" customWidth="1"/>
    <col min="14602" max="14602" width="19.140625" style="120" customWidth="1"/>
    <col min="14603" max="14603" width="8.5703125" style="120" customWidth="1"/>
    <col min="14604" max="14604" width="23.28515625" style="120" customWidth="1"/>
    <col min="14605" max="14605" width="20.28515625" style="120" customWidth="1"/>
    <col min="14606" max="14606" width="21.28515625" style="120" customWidth="1"/>
    <col min="14607" max="14848" width="10" style="120"/>
    <col min="14849" max="14849" width="6.140625" style="120" customWidth="1"/>
    <col min="14850" max="14850" width="32.28515625" style="120" customWidth="1"/>
    <col min="14851" max="14852" width="0" style="120" hidden="1" customWidth="1"/>
    <col min="14853" max="14853" width="13.28515625" style="120" customWidth="1"/>
    <col min="14854" max="14854" width="5.7109375" style="120" customWidth="1"/>
    <col min="14855" max="14855" width="28.28515625" style="120" customWidth="1"/>
    <col min="14856" max="14856" width="18.5703125" style="120" customWidth="1"/>
    <col min="14857" max="14857" width="15.7109375" style="120" customWidth="1"/>
    <col min="14858" max="14858" width="19.140625" style="120" customWidth="1"/>
    <col min="14859" max="14859" width="8.5703125" style="120" customWidth="1"/>
    <col min="14860" max="14860" width="23.28515625" style="120" customWidth="1"/>
    <col min="14861" max="14861" width="20.28515625" style="120" customWidth="1"/>
    <col min="14862" max="14862" width="21.28515625" style="120" customWidth="1"/>
    <col min="14863" max="15104" width="10" style="120"/>
    <col min="15105" max="15105" width="6.140625" style="120" customWidth="1"/>
    <col min="15106" max="15106" width="32.28515625" style="120" customWidth="1"/>
    <col min="15107" max="15108" width="0" style="120" hidden="1" customWidth="1"/>
    <col min="15109" max="15109" width="13.28515625" style="120" customWidth="1"/>
    <col min="15110" max="15110" width="5.7109375" style="120" customWidth="1"/>
    <col min="15111" max="15111" width="28.28515625" style="120" customWidth="1"/>
    <col min="15112" max="15112" width="18.5703125" style="120" customWidth="1"/>
    <col min="15113" max="15113" width="15.7109375" style="120" customWidth="1"/>
    <col min="15114" max="15114" width="19.140625" style="120" customWidth="1"/>
    <col min="15115" max="15115" width="8.5703125" style="120" customWidth="1"/>
    <col min="15116" max="15116" width="23.28515625" style="120" customWidth="1"/>
    <col min="15117" max="15117" width="20.28515625" style="120" customWidth="1"/>
    <col min="15118" max="15118" width="21.28515625" style="120" customWidth="1"/>
    <col min="15119" max="15360" width="10" style="120"/>
    <col min="15361" max="15361" width="6.140625" style="120" customWidth="1"/>
    <col min="15362" max="15362" width="32.28515625" style="120" customWidth="1"/>
    <col min="15363" max="15364" width="0" style="120" hidden="1" customWidth="1"/>
    <col min="15365" max="15365" width="13.28515625" style="120" customWidth="1"/>
    <col min="15366" max="15366" width="5.7109375" style="120" customWidth="1"/>
    <col min="15367" max="15367" width="28.28515625" style="120" customWidth="1"/>
    <col min="15368" max="15368" width="18.5703125" style="120" customWidth="1"/>
    <col min="15369" max="15369" width="15.7109375" style="120" customWidth="1"/>
    <col min="15370" max="15370" width="19.140625" style="120" customWidth="1"/>
    <col min="15371" max="15371" width="8.5703125" style="120" customWidth="1"/>
    <col min="15372" max="15372" width="23.28515625" style="120" customWidth="1"/>
    <col min="15373" max="15373" width="20.28515625" style="120" customWidth="1"/>
    <col min="15374" max="15374" width="21.28515625" style="120" customWidth="1"/>
    <col min="15375" max="15616" width="10" style="120"/>
    <col min="15617" max="15617" width="6.140625" style="120" customWidth="1"/>
    <col min="15618" max="15618" width="32.28515625" style="120" customWidth="1"/>
    <col min="15619" max="15620" width="0" style="120" hidden="1" customWidth="1"/>
    <col min="15621" max="15621" width="13.28515625" style="120" customWidth="1"/>
    <col min="15622" max="15622" width="5.7109375" style="120" customWidth="1"/>
    <col min="15623" max="15623" width="28.28515625" style="120" customWidth="1"/>
    <col min="15624" max="15624" width="18.5703125" style="120" customWidth="1"/>
    <col min="15625" max="15625" width="15.7109375" style="120" customWidth="1"/>
    <col min="15626" max="15626" width="19.140625" style="120" customWidth="1"/>
    <col min="15627" max="15627" width="8.5703125" style="120" customWidth="1"/>
    <col min="15628" max="15628" width="23.28515625" style="120" customWidth="1"/>
    <col min="15629" max="15629" width="20.28515625" style="120" customWidth="1"/>
    <col min="15630" max="15630" width="21.28515625" style="120" customWidth="1"/>
    <col min="15631" max="15872" width="10" style="120"/>
    <col min="15873" max="15873" width="6.140625" style="120" customWidth="1"/>
    <col min="15874" max="15874" width="32.28515625" style="120" customWidth="1"/>
    <col min="15875" max="15876" width="0" style="120" hidden="1" customWidth="1"/>
    <col min="15877" max="15877" width="13.28515625" style="120" customWidth="1"/>
    <col min="15878" max="15878" width="5.7109375" style="120" customWidth="1"/>
    <col min="15879" max="15879" width="28.28515625" style="120" customWidth="1"/>
    <col min="15880" max="15880" width="18.5703125" style="120" customWidth="1"/>
    <col min="15881" max="15881" width="15.7109375" style="120" customWidth="1"/>
    <col min="15882" max="15882" width="19.140625" style="120" customWidth="1"/>
    <col min="15883" max="15883" width="8.5703125" style="120" customWidth="1"/>
    <col min="15884" max="15884" width="23.28515625" style="120" customWidth="1"/>
    <col min="15885" max="15885" width="20.28515625" style="120" customWidth="1"/>
    <col min="15886" max="15886" width="21.28515625" style="120" customWidth="1"/>
    <col min="15887" max="16128" width="10" style="120"/>
    <col min="16129" max="16129" width="6.140625" style="120" customWidth="1"/>
    <col min="16130" max="16130" width="32.28515625" style="120" customWidth="1"/>
    <col min="16131" max="16132" width="0" style="120" hidden="1" customWidth="1"/>
    <col min="16133" max="16133" width="13.28515625" style="120" customWidth="1"/>
    <col min="16134" max="16134" width="5.7109375" style="120" customWidth="1"/>
    <col min="16135" max="16135" width="28.28515625" style="120" customWidth="1"/>
    <col min="16136" max="16136" width="18.5703125" style="120" customWidth="1"/>
    <col min="16137" max="16137" width="15.7109375" style="120" customWidth="1"/>
    <col min="16138" max="16138" width="19.140625" style="120" customWidth="1"/>
    <col min="16139" max="16139" width="8.5703125" style="120" customWidth="1"/>
    <col min="16140" max="16140" width="23.28515625" style="120" customWidth="1"/>
    <col min="16141" max="16141" width="20.28515625" style="120" customWidth="1"/>
    <col min="16142" max="16142" width="21.28515625" style="120" customWidth="1"/>
    <col min="16143" max="16384" width="10" style="120"/>
  </cols>
  <sheetData>
    <row r="1" spans="1:14" ht="22.5" customHeight="1">
      <c r="A1" s="259" t="s">
        <v>148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119"/>
    </row>
    <row r="2" spans="1:14" ht="18" hidden="1" customHeight="1">
      <c r="A2" s="260" t="s">
        <v>149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121"/>
    </row>
    <row r="3" spans="1:14" ht="24.75" customHeight="1">
      <c r="A3" s="122"/>
      <c r="B3" s="123"/>
      <c r="C3" s="122"/>
      <c r="D3" s="122"/>
      <c r="E3" s="124"/>
      <c r="F3" s="124"/>
      <c r="G3" s="261" t="s">
        <v>274</v>
      </c>
      <c r="H3" s="261"/>
      <c r="I3" s="261"/>
      <c r="J3" s="261"/>
      <c r="K3" s="261"/>
      <c r="L3" s="125"/>
    </row>
    <row r="4" spans="1:14" ht="38.25" customHeight="1">
      <c r="A4" s="262" t="s">
        <v>269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126"/>
    </row>
    <row r="5" spans="1:14" ht="18" customHeight="1">
      <c r="A5" s="122"/>
      <c r="B5" s="123"/>
      <c r="C5" s="122"/>
      <c r="D5" s="122"/>
      <c r="E5" s="124"/>
      <c r="F5" s="124"/>
      <c r="G5" s="122"/>
      <c r="H5" s="124"/>
      <c r="I5" s="124"/>
      <c r="J5" s="263" t="s">
        <v>150</v>
      </c>
      <c r="K5" s="263"/>
      <c r="L5" s="127"/>
    </row>
    <row r="6" spans="1:14" ht="31.5" customHeight="1">
      <c r="A6" s="128" t="s">
        <v>0</v>
      </c>
      <c r="B6" s="129" t="s">
        <v>151</v>
      </c>
      <c r="C6" s="129" t="s">
        <v>152</v>
      </c>
      <c r="D6" s="129" t="s">
        <v>153</v>
      </c>
      <c r="E6" s="130" t="s">
        <v>154</v>
      </c>
      <c r="F6" s="129" t="s">
        <v>155</v>
      </c>
      <c r="G6" s="129" t="s">
        <v>156</v>
      </c>
      <c r="H6" s="131" t="s">
        <v>157</v>
      </c>
      <c r="I6" s="131" t="s">
        <v>158</v>
      </c>
      <c r="J6" s="131" t="s">
        <v>159</v>
      </c>
      <c r="K6" s="129" t="s">
        <v>160</v>
      </c>
      <c r="L6" s="132"/>
    </row>
    <row r="7" spans="1:14" ht="42" customHeight="1">
      <c r="A7" s="133" t="s">
        <v>161</v>
      </c>
      <c r="B7" s="134" t="s">
        <v>162</v>
      </c>
      <c r="C7" s="135"/>
      <c r="D7" s="135"/>
      <c r="E7" s="136"/>
      <c r="F7" s="137"/>
      <c r="G7" s="135" t="s">
        <v>163</v>
      </c>
      <c r="H7" s="138">
        <f>+SUM(H8:H9)</f>
        <v>70266037128.238266</v>
      </c>
      <c r="I7" s="138">
        <f>+SUM(I8:I9)</f>
        <v>7026603712.8238277</v>
      </c>
      <c r="J7" s="138">
        <f>+SUM(J8:J9)</f>
        <v>77292640841.062103</v>
      </c>
      <c r="K7" s="135" t="s">
        <v>164</v>
      </c>
      <c r="L7" s="139"/>
    </row>
    <row r="8" spans="1:14" ht="49.5" customHeight="1">
      <c r="A8" s="149" t="s">
        <v>165</v>
      </c>
      <c r="B8" s="140" t="s">
        <v>265</v>
      </c>
      <c r="C8" s="141"/>
      <c r="D8" s="141"/>
      <c r="E8" s="264" t="s">
        <v>166</v>
      </c>
      <c r="F8" s="142">
        <v>1</v>
      </c>
      <c r="G8" s="143" t="s">
        <v>270</v>
      </c>
      <c r="H8" s="144">
        <f>+J8/1.1</f>
        <v>7839825223.1472721</v>
      </c>
      <c r="I8" s="144">
        <f>+H8*0.1</f>
        <v>783982522.31472731</v>
      </c>
      <c r="J8" s="144">
        <f>0.9947*8450000000*0.923*1.1116</f>
        <v>8623807745.4619999</v>
      </c>
      <c r="K8" s="135"/>
      <c r="L8" s="145">
        <f>3.210326*8450000000*0.923</f>
        <v>25038456088.100002</v>
      </c>
      <c r="M8" s="138"/>
    </row>
    <row r="9" spans="1:14" ht="114.75" customHeight="1">
      <c r="A9" s="149" t="s">
        <v>167</v>
      </c>
      <c r="B9" s="246" t="s">
        <v>168</v>
      </c>
      <c r="C9" s="141"/>
      <c r="D9" s="141"/>
      <c r="E9" s="265"/>
      <c r="F9" s="146"/>
      <c r="G9" s="147" t="s">
        <v>271</v>
      </c>
      <c r="H9" s="144">
        <f>+J9/1.1</f>
        <v>62426211905.090996</v>
      </c>
      <c r="I9" s="144">
        <f>+H9/10</f>
        <v>6242621190.5091</v>
      </c>
      <c r="J9" s="148">
        <f>3060.3*5*98.86%*7330000*55%*1.126</f>
        <v>68668833095.600098</v>
      </c>
      <c r="K9" s="135"/>
      <c r="L9" s="145"/>
      <c r="M9" s="138"/>
    </row>
    <row r="10" spans="1:14">
      <c r="A10" s="133">
        <v>2</v>
      </c>
      <c r="B10" s="134" t="s">
        <v>169</v>
      </c>
      <c r="C10" s="135"/>
      <c r="D10" s="135"/>
      <c r="E10" s="136"/>
      <c r="F10" s="137"/>
      <c r="G10" s="135" t="s">
        <v>121</v>
      </c>
      <c r="H10" s="138"/>
      <c r="I10" s="138"/>
      <c r="J10" s="138">
        <f>SUM(J11:J12)</f>
        <v>7729264084.1062107</v>
      </c>
      <c r="K10" s="135" t="s">
        <v>170</v>
      </c>
      <c r="L10" s="139"/>
    </row>
    <row r="11" spans="1:14" s="158" customFormat="1">
      <c r="A11" s="150" t="s">
        <v>142</v>
      </c>
      <c r="B11" s="151" t="s">
        <v>171</v>
      </c>
      <c r="C11" s="152" t="s">
        <v>172</v>
      </c>
      <c r="D11" s="152" t="s">
        <v>172</v>
      </c>
      <c r="E11" s="153">
        <v>0.1</v>
      </c>
      <c r="F11" s="154"/>
      <c r="G11" s="152" t="s">
        <v>173</v>
      </c>
      <c r="H11" s="155"/>
      <c r="I11" s="155"/>
      <c r="J11" s="155">
        <f>+(J7)*0.1</f>
        <v>7729264084.1062107</v>
      </c>
      <c r="K11" s="152"/>
      <c r="L11" s="156"/>
      <c r="M11" s="157"/>
      <c r="N11" s="157"/>
    </row>
    <row r="12" spans="1:14" ht="30" hidden="1">
      <c r="A12" s="149" t="s">
        <v>174</v>
      </c>
      <c r="B12" s="159" t="s">
        <v>175</v>
      </c>
      <c r="C12" s="142" t="s">
        <v>176</v>
      </c>
      <c r="D12" s="142" t="s">
        <v>176</v>
      </c>
      <c r="E12" s="160"/>
      <c r="F12" s="161"/>
      <c r="G12" s="142" t="s">
        <v>177</v>
      </c>
      <c r="H12" s="162"/>
      <c r="I12" s="162"/>
      <c r="J12" s="163"/>
      <c r="K12" s="142"/>
      <c r="L12" s="164"/>
    </row>
    <row r="13" spans="1:14">
      <c r="A13" s="149"/>
      <c r="B13" s="135" t="s">
        <v>178</v>
      </c>
      <c r="C13" s="142"/>
      <c r="D13" s="142"/>
      <c r="E13" s="160"/>
      <c r="F13" s="161"/>
      <c r="G13" s="142" t="s">
        <v>121</v>
      </c>
      <c r="H13" s="138"/>
      <c r="I13" s="138"/>
      <c r="J13" s="138">
        <f>+J7+J10</f>
        <v>85021904925.16832</v>
      </c>
      <c r="K13" s="135" t="s">
        <v>179</v>
      </c>
      <c r="L13" s="135"/>
      <c r="M13" s="157"/>
    </row>
    <row r="14" spans="1:14">
      <c r="A14" s="165"/>
      <c r="B14" s="166" t="s">
        <v>180</v>
      </c>
      <c r="C14" s="167"/>
      <c r="D14" s="167"/>
      <c r="E14" s="168"/>
      <c r="F14" s="169"/>
      <c r="G14" s="167"/>
      <c r="H14" s="170"/>
      <c r="I14" s="170"/>
      <c r="J14" s="171">
        <f>ROUND(J13,-3)</f>
        <v>85021905000</v>
      </c>
      <c r="K14" s="167"/>
      <c r="L14" s="172"/>
      <c r="M14" s="157"/>
    </row>
    <row r="15" spans="1:14" ht="22.5" customHeight="1">
      <c r="A15" s="255" t="s">
        <v>272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173"/>
    </row>
    <row r="16" spans="1:14" ht="18" customHeight="1" thickBot="1">
      <c r="A16" s="122"/>
      <c r="B16" s="174"/>
      <c r="C16" s="122"/>
      <c r="D16" s="122"/>
      <c r="E16" s="124"/>
      <c r="F16" s="124"/>
      <c r="G16" s="122"/>
      <c r="H16" s="256"/>
      <c r="I16" s="256"/>
      <c r="J16" s="175"/>
    </row>
    <row r="17" spans="1:15" ht="16.5" customHeight="1" thickBot="1">
      <c r="A17" s="122"/>
      <c r="B17" s="123"/>
      <c r="C17" s="122"/>
      <c r="D17" s="122"/>
      <c r="E17" s="124"/>
      <c r="F17" s="124"/>
      <c r="G17" s="122"/>
      <c r="H17" s="124"/>
      <c r="I17" s="124"/>
      <c r="J17" s="122"/>
      <c r="L17" s="252">
        <f>J14*0.6</f>
        <v>51013143000</v>
      </c>
      <c r="M17" s="253">
        <v>51013143000</v>
      </c>
    </row>
    <row r="18" spans="1:15" ht="16.5" customHeight="1" thickBot="1">
      <c r="A18" s="122"/>
      <c r="B18" s="123"/>
      <c r="C18" s="122"/>
      <c r="D18" s="122"/>
      <c r="E18" s="124"/>
      <c r="F18" s="124"/>
      <c r="G18" s="122"/>
      <c r="H18" s="124"/>
      <c r="I18" s="124"/>
      <c r="J18" s="122"/>
      <c r="L18" s="252">
        <f>J14-L17</f>
        <v>34008762000</v>
      </c>
      <c r="M18" s="254">
        <v>34008762000</v>
      </c>
    </row>
    <row r="19" spans="1:15" ht="16.5" customHeight="1" thickBot="1">
      <c r="A19" s="122"/>
      <c r="B19" s="123"/>
      <c r="C19" s="122"/>
      <c r="D19" s="122"/>
      <c r="E19" s="124"/>
      <c r="F19" s="124"/>
      <c r="G19" s="122"/>
      <c r="H19" s="124"/>
      <c r="I19" s="124"/>
      <c r="J19" s="122" t="s">
        <v>181</v>
      </c>
    </row>
    <row r="20" spans="1:15" ht="16.5" customHeight="1" thickBot="1">
      <c r="A20" s="122"/>
      <c r="B20" s="123"/>
      <c r="C20" s="122"/>
      <c r="D20" s="122"/>
      <c r="E20" s="124"/>
      <c r="F20" s="124"/>
      <c r="G20" s="122"/>
      <c r="H20" s="124"/>
      <c r="I20" s="124"/>
      <c r="J20" s="122"/>
      <c r="N20" s="176">
        <v>78038</v>
      </c>
      <c r="O20" s="177">
        <f>+N20/$N$31</f>
        <v>0.87166026271110719</v>
      </c>
    </row>
    <row r="21" spans="1:15" ht="18" customHeight="1" thickBot="1">
      <c r="A21" s="122"/>
      <c r="B21" s="122"/>
      <c r="C21" s="122"/>
      <c r="D21" s="122"/>
      <c r="E21" s="124"/>
      <c r="F21" s="124"/>
      <c r="G21" s="122"/>
      <c r="H21" s="257"/>
      <c r="I21" s="257"/>
      <c r="J21" s="178"/>
      <c r="N21" s="179">
        <v>29986.5</v>
      </c>
      <c r="O21" s="177">
        <f>+N21/$N$31</f>
        <v>0.33493990706817978</v>
      </c>
    </row>
    <row r="22" spans="1:15" ht="18" customHeight="1" thickBot="1">
      <c r="A22" s="122"/>
      <c r="B22" s="180"/>
      <c r="C22" s="122"/>
      <c r="D22" s="122"/>
      <c r="E22" s="124"/>
      <c r="F22" s="124"/>
      <c r="G22" s="122"/>
      <c r="H22" s="258"/>
      <c r="I22" s="258"/>
      <c r="J22" s="181"/>
      <c r="K22" s="181"/>
      <c r="L22" s="181"/>
      <c r="N22" s="179">
        <v>6184.7</v>
      </c>
      <c r="O22" s="177">
        <f t="shared" ref="O22:O30" si="0">+N22/$N$31</f>
        <v>6.9081181306406933E-2</v>
      </c>
    </row>
    <row r="23" spans="1:15" ht="18" customHeight="1" thickBot="1">
      <c r="A23" s="122"/>
      <c r="B23" s="123"/>
      <c r="C23" s="122"/>
      <c r="D23" s="122"/>
      <c r="E23" s="124"/>
      <c r="F23" s="124"/>
      <c r="G23" s="122"/>
      <c r="H23" s="182"/>
      <c r="I23" s="183"/>
      <c r="J23" s="183"/>
      <c r="K23" s="183"/>
      <c r="L23" s="183"/>
      <c r="N23" s="179">
        <v>3567.6</v>
      </c>
      <c r="O23" s="177">
        <f t="shared" si="0"/>
        <v>3.9848985792154408E-2</v>
      </c>
    </row>
    <row r="24" spans="1:15" ht="16.5" customHeight="1" thickBot="1">
      <c r="A24" s="122"/>
      <c r="B24" s="123"/>
      <c r="C24" s="122"/>
      <c r="D24" s="122"/>
      <c r="E24" s="124"/>
      <c r="F24" s="124"/>
      <c r="G24" s="122"/>
      <c r="H24" s="124"/>
      <c r="I24" s="124"/>
      <c r="J24" s="124"/>
      <c r="K24" s="122"/>
      <c r="L24" s="122"/>
      <c r="N24" s="184">
        <v>461.7</v>
      </c>
      <c r="O24" s="177">
        <f t="shared" si="0"/>
        <v>5.15704584040747E-3</v>
      </c>
    </row>
    <row r="25" spans="1:15" ht="19.5" thickBot="1">
      <c r="N25" s="185">
        <v>32785</v>
      </c>
      <c r="O25" s="177">
        <f t="shared" si="0"/>
        <v>0.36619828433562684</v>
      </c>
    </row>
    <row r="26" spans="1:15" ht="19.5" thickBot="1">
      <c r="N26" s="179">
        <v>3502.2</v>
      </c>
      <c r="O26" s="177">
        <f t="shared" si="0"/>
        <v>3.9118488070771153E-2</v>
      </c>
    </row>
    <row r="27" spans="1:15" ht="19.5" thickBot="1">
      <c r="N27" s="179">
        <v>1550.1</v>
      </c>
      <c r="O27" s="177">
        <f t="shared" si="0"/>
        <v>1.7314136359574656E-2</v>
      </c>
    </row>
    <row r="28" spans="1:15" ht="19.5" thickBot="1">
      <c r="N28" s="179">
        <f>SUM(N21:N27)</f>
        <v>78037.8</v>
      </c>
      <c r="O28" s="177">
        <f t="shared" si="0"/>
        <v>0.87165802877312126</v>
      </c>
    </row>
    <row r="29" spans="1:15" ht="19.5" thickBot="1">
      <c r="N29" s="185">
        <v>11490</v>
      </c>
      <c r="O29" s="177">
        <f t="shared" si="0"/>
        <v>0.12833973728889286</v>
      </c>
    </row>
    <row r="30" spans="1:15" ht="19.5" thickBot="1">
      <c r="N30" s="185">
        <f>SUM(N28:N29)</f>
        <v>89527.8</v>
      </c>
      <c r="O30" s="177">
        <f t="shared" si="0"/>
        <v>0.99999776606201418</v>
      </c>
    </row>
    <row r="31" spans="1:15" ht="19.5" thickBot="1">
      <c r="N31" s="186">
        <v>89528</v>
      </c>
    </row>
    <row r="32" spans="1:15">
      <c r="N32" s="187">
        <f>SUM(N28:N30)</f>
        <v>179055.6</v>
      </c>
    </row>
  </sheetData>
  <mergeCells count="10">
    <mergeCell ref="A15:K15"/>
    <mergeCell ref="H16:I16"/>
    <mergeCell ref="H21:I21"/>
    <mergeCell ref="H22:I22"/>
    <mergeCell ref="A1:K1"/>
    <mergeCell ref="A2:K2"/>
    <mergeCell ref="G3:K3"/>
    <mergeCell ref="A4:K4"/>
    <mergeCell ref="J5:K5"/>
    <mergeCell ref="E8:E9"/>
  </mergeCells>
  <pageMargins left="0.45866141700000002" right="0.39370078740157499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"/>
  <sheetViews>
    <sheetView topLeftCell="A38" workbookViewId="0">
      <selection activeCell="B14" sqref="B14"/>
    </sheetView>
  </sheetViews>
  <sheetFormatPr defaultColWidth="9.140625" defaultRowHeight="15.75"/>
  <cols>
    <col min="1" max="1" width="5.42578125" style="188" customWidth="1"/>
    <col min="2" max="2" width="35.28515625" style="188" customWidth="1"/>
    <col min="3" max="3" width="8.140625" style="188" customWidth="1"/>
    <col min="4" max="4" width="12.7109375" style="188" customWidth="1"/>
    <col min="5" max="5" width="10.42578125" style="188" customWidth="1"/>
    <col min="6" max="6" width="12.7109375" style="188" customWidth="1"/>
    <col min="7" max="7" width="12.5703125" style="188" customWidth="1"/>
    <col min="8" max="8" width="12.140625" style="188" customWidth="1"/>
    <col min="9" max="9" width="12.7109375" style="188" customWidth="1"/>
    <col min="10" max="10" width="12.85546875" style="188" customWidth="1"/>
    <col min="11" max="13" width="9.140625" style="188"/>
    <col min="14" max="14" width="16.7109375" style="188" customWidth="1"/>
    <col min="15" max="16" width="9.140625" style="188"/>
    <col min="17" max="17" width="32.7109375" style="188" customWidth="1"/>
    <col min="18" max="16384" width="9.140625" style="188"/>
  </cols>
  <sheetData>
    <row r="1" spans="1:10" ht="18.600000000000001" customHeight="1">
      <c r="A1" s="267" t="s">
        <v>182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ht="36" customHeight="1">
      <c r="A2" s="266" t="s">
        <v>268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>
      <c r="A3" s="189" t="s">
        <v>273</v>
      </c>
      <c r="B3" s="189" t="s">
        <v>1</v>
      </c>
      <c r="C3" s="190" t="s">
        <v>140</v>
      </c>
      <c r="D3" s="190" t="s">
        <v>178</v>
      </c>
      <c r="E3" s="191" t="s">
        <v>2</v>
      </c>
      <c r="F3" s="191" t="s">
        <v>20</v>
      </c>
      <c r="G3" s="191" t="s">
        <v>14</v>
      </c>
      <c r="H3" s="191" t="s">
        <v>15</v>
      </c>
      <c r="I3" s="191" t="s">
        <v>9</v>
      </c>
      <c r="J3" s="191" t="s">
        <v>10</v>
      </c>
    </row>
    <row r="4" spans="1:10">
      <c r="A4" s="189" t="s">
        <v>100</v>
      </c>
      <c r="B4" s="192" t="s">
        <v>147</v>
      </c>
      <c r="C4" s="193" t="s">
        <v>183</v>
      </c>
      <c r="D4" s="194">
        <f>D5+D8+D11</f>
        <v>85.0219049251683</v>
      </c>
      <c r="E4" s="194">
        <f>E7+E10+E13</f>
        <v>2.84585655600246</v>
      </c>
      <c r="F4" s="194">
        <f t="shared" ref="F4:H4" si="0">F7+F10+F13</f>
        <v>21.747475245037762</v>
      </c>
      <c r="G4" s="194">
        <f t="shared" si="0"/>
        <v>37.767858202580051</v>
      </c>
      <c r="H4" s="194">
        <f t="shared" si="0"/>
        <v>22.660714921548031</v>
      </c>
      <c r="I4" s="196"/>
      <c r="J4" s="196"/>
    </row>
    <row r="5" spans="1:10">
      <c r="A5" s="88">
        <v>1</v>
      </c>
      <c r="B5" s="89" t="s">
        <v>184</v>
      </c>
      <c r="C5" s="193" t="s">
        <v>183</v>
      </c>
      <c r="D5" s="193">
        <f>'Sơ bộ TMĐT'!J8/1000000000*1.1</f>
        <v>9.4861885200082003</v>
      </c>
      <c r="E5" s="197"/>
      <c r="F5" s="198"/>
      <c r="G5" s="199"/>
      <c r="H5" s="199"/>
      <c r="I5" s="199"/>
      <c r="J5" s="199"/>
    </row>
    <row r="6" spans="1:10">
      <c r="A6" s="88"/>
      <c r="B6" s="89" t="s">
        <v>185</v>
      </c>
      <c r="C6" s="193" t="s">
        <v>145</v>
      </c>
      <c r="D6" s="200">
        <f>SUM(E6:H6)</f>
        <v>1</v>
      </c>
      <c r="E6" s="198">
        <v>0.3</v>
      </c>
      <c r="F6" s="198">
        <v>0.7</v>
      </c>
      <c r="G6" s="198">
        <v>0</v>
      </c>
      <c r="H6" s="198">
        <v>0</v>
      </c>
      <c r="I6" s="198">
        <v>0</v>
      </c>
      <c r="J6" s="198">
        <v>0</v>
      </c>
    </row>
    <row r="7" spans="1:10">
      <c r="A7" s="88"/>
      <c r="B7" s="89" t="s">
        <v>186</v>
      </c>
      <c r="C7" s="193" t="s">
        <v>183</v>
      </c>
      <c r="D7" s="201">
        <f>SUM(E7:H7)</f>
        <v>9.4861885200082003</v>
      </c>
      <c r="E7" s="201">
        <f>$D5*E6</f>
        <v>2.84585655600246</v>
      </c>
      <c r="F7" s="201">
        <f t="shared" ref="F7:H7" si="1">$D5*F6</f>
        <v>6.6403319640057399</v>
      </c>
      <c r="G7" s="201">
        <f t="shared" si="1"/>
        <v>0</v>
      </c>
      <c r="H7" s="201">
        <f t="shared" si="1"/>
        <v>0</v>
      </c>
      <c r="I7" s="201">
        <f t="shared" ref="I7:J7" si="2">$D5*I6</f>
        <v>0</v>
      </c>
      <c r="J7" s="201">
        <f t="shared" si="2"/>
        <v>0</v>
      </c>
    </row>
    <row r="8" spans="1:10">
      <c r="A8" s="88">
        <v>2</v>
      </c>
      <c r="B8" s="89" t="s">
        <v>187</v>
      </c>
      <c r="C8" s="193" t="s">
        <v>183</v>
      </c>
      <c r="D8" s="193">
        <f>'Sơ bộ TMĐT'!J9/1000000000*1.1</f>
        <v>75.535716405160102</v>
      </c>
      <c r="E8" s="197"/>
      <c r="F8" s="198"/>
      <c r="G8" s="199"/>
      <c r="H8" s="199"/>
      <c r="I8" s="199"/>
      <c r="J8" s="199"/>
    </row>
    <row r="9" spans="1:10">
      <c r="A9" s="88"/>
      <c r="B9" s="89" t="s">
        <v>185</v>
      </c>
      <c r="C9" s="193" t="s">
        <v>145</v>
      </c>
      <c r="D9" s="200">
        <f>SUM(E9:H9)</f>
        <v>1</v>
      </c>
      <c r="E9" s="198">
        <v>0</v>
      </c>
      <c r="F9" s="198">
        <v>0.2</v>
      </c>
      <c r="G9" s="198">
        <v>0.5</v>
      </c>
      <c r="H9" s="198">
        <v>0.3</v>
      </c>
      <c r="I9" s="198">
        <v>0</v>
      </c>
      <c r="J9" s="198">
        <v>0</v>
      </c>
    </row>
    <row r="10" spans="1:10">
      <c r="A10" s="88"/>
      <c r="B10" s="89" t="s">
        <v>186</v>
      </c>
      <c r="C10" s="193" t="s">
        <v>183</v>
      </c>
      <c r="D10" s="201">
        <f>SUM(E10:H10)</f>
        <v>75.535716405160102</v>
      </c>
      <c r="E10" s="201">
        <f>$D8*E9</f>
        <v>0</v>
      </c>
      <c r="F10" s="201">
        <f t="shared" ref="F10:H10" si="3">$D8*F9</f>
        <v>15.107143281032021</v>
      </c>
      <c r="G10" s="201">
        <f t="shared" si="3"/>
        <v>37.767858202580051</v>
      </c>
      <c r="H10" s="201">
        <f t="shared" si="3"/>
        <v>22.660714921548031</v>
      </c>
      <c r="I10" s="201">
        <f t="shared" ref="I10:J10" si="4">$D8*I9</f>
        <v>0</v>
      </c>
      <c r="J10" s="201">
        <f t="shared" si="4"/>
        <v>0</v>
      </c>
    </row>
    <row r="11" spans="1:10" hidden="1">
      <c r="A11" s="88">
        <v>3</v>
      </c>
      <c r="B11" s="89" t="s">
        <v>261</v>
      </c>
      <c r="C11" s="193" t="s">
        <v>183</v>
      </c>
      <c r="D11" s="193">
        <v>0</v>
      </c>
      <c r="E11" s="197"/>
      <c r="F11" s="198"/>
      <c r="G11" s="199"/>
      <c r="H11" s="199"/>
      <c r="I11" s="199"/>
      <c r="J11" s="199"/>
    </row>
    <row r="12" spans="1:10" hidden="1">
      <c r="A12" s="88"/>
      <c r="B12" s="89" t="s">
        <v>185</v>
      </c>
      <c r="C12" s="193" t="s">
        <v>145</v>
      </c>
      <c r="D12" s="200">
        <f>SUM(E12:H12)</f>
        <v>1</v>
      </c>
      <c r="E12" s="198">
        <v>0</v>
      </c>
      <c r="F12" s="198">
        <v>1</v>
      </c>
      <c r="G12" s="198">
        <v>0</v>
      </c>
      <c r="H12" s="198">
        <v>0</v>
      </c>
      <c r="I12" s="198">
        <v>0</v>
      </c>
      <c r="J12" s="198">
        <v>0</v>
      </c>
    </row>
    <row r="13" spans="1:10" hidden="1">
      <c r="A13" s="88"/>
      <c r="B13" s="89" t="s">
        <v>186</v>
      </c>
      <c r="C13" s="193" t="s">
        <v>183</v>
      </c>
      <c r="D13" s="201">
        <f>SUM(E13:H13)</f>
        <v>0</v>
      </c>
      <c r="E13" s="201">
        <f>$D11*E12</f>
        <v>0</v>
      </c>
      <c r="F13" s="201">
        <f>$D11*F12</f>
        <v>0</v>
      </c>
      <c r="G13" s="201">
        <f t="shared" ref="G13:H13" si="5">$D11*G12</f>
        <v>0</v>
      </c>
      <c r="H13" s="201">
        <f t="shared" si="5"/>
        <v>0</v>
      </c>
      <c r="I13" s="201">
        <f t="shared" ref="I13:J13" si="6">$D11*I12</f>
        <v>0</v>
      </c>
      <c r="J13" s="201">
        <f t="shared" si="6"/>
        <v>0</v>
      </c>
    </row>
    <row r="14" spans="1:10">
      <c r="A14" s="189" t="s">
        <v>102</v>
      </c>
      <c r="B14" s="192" t="s">
        <v>188</v>
      </c>
      <c r="C14" s="190"/>
      <c r="D14" s="195"/>
      <c r="E14" s="195"/>
      <c r="F14" s="190"/>
      <c r="G14" s="196"/>
      <c r="H14" s="196"/>
      <c r="I14" s="196"/>
      <c r="J14" s="196"/>
    </row>
    <row r="15" spans="1:10">
      <c r="A15" s="88">
        <v>1</v>
      </c>
      <c r="B15" s="89" t="s">
        <v>185</v>
      </c>
      <c r="C15" s="193" t="s">
        <v>145</v>
      </c>
      <c r="D15" s="200">
        <f>SUM(E15:H15)</f>
        <v>1</v>
      </c>
      <c r="E15" s="198">
        <f t="shared" ref="E15:J15" si="7">E16/$D4</f>
        <v>3.3472039452741381E-2</v>
      </c>
      <c r="F15" s="198">
        <f t="shared" si="7"/>
        <v>0.25578673242123567</v>
      </c>
      <c r="G15" s="198">
        <f t="shared" si="7"/>
        <v>0.44421326757876439</v>
      </c>
      <c r="H15" s="198">
        <f t="shared" si="7"/>
        <v>0.26652796054725864</v>
      </c>
      <c r="I15" s="198">
        <f t="shared" si="7"/>
        <v>0</v>
      </c>
      <c r="J15" s="198">
        <f t="shared" si="7"/>
        <v>0</v>
      </c>
    </row>
    <row r="16" spans="1:10">
      <c r="A16" s="88">
        <v>2</v>
      </c>
      <c r="B16" s="89" t="s">
        <v>189</v>
      </c>
      <c r="C16" s="193" t="s">
        <v>183</v>
      </c>
      <c r="D16" s="202">
        <f>SUM(E16:H16)</f>
        <v>85.0219049251683</v>
      </c>
      <c r="E16" s="201">
        <f>E7+E10+E13</f>
        <v>2.84585655600246</v>
      </c>
      <c r="F16" s="201">
        <f t="shared" ref="F16:J16" si="8">F7+F10+F13</f>
        <v>21.747475245037762</v>
      </c>
      <c r="G16" s="201">
        <f t="shared" si="8"/>
        <v>37.767858202580051</v>
      </c>
      <c r="H16" s="201">
        <f t="shared" si="8"/>
        <v>22.660714921548031</v>
      </c>
      <c r="I16" s="201">
        <f t="shared" si="8"/>
        <v>0</v>
      </c>
      <c r="J16" s="201">
        <f t="shared" si="8"/>
        <v>0</v>
      </c>
    </row>
    <row r="17" spans="1:15">
      <c r="A17" s="88"/>
      <c r="B17" s="89" t="s">
        <v>190</v>
      </c>
      <c r="C17" s="193" t="s">
        <v>183</v>
      </c>
      <c r="D17" s="201">
        <f>SUM(E17:H17)</f>
        <v>17.004380985033663</v>
      </c>
      <c r="E17" s="201">
        <f>E16*20%</f>
        <v>0.56917131120049202</v>
      </c>
      <c r="F17" s="201">
        <f t="shared" ref="F17:H17" si="9">F16*20%</f>
        <v>4.3494950490075528</v>
      </c>
      <c r="G17" s="201">
        <f t="shared" si="9"/>
        <v>7.5535716405160107</v>
      </c>
      <c r="H17" s="201">
        <f t="shared" si="9"/>
        <v>4.5321429843096066</v>
      </c>
      <c r="I17" s="201">
        <f t="shared" ref="I17" si="10">I16*20%</f>
        <v>0</v>
      </c>
      <c r="J17" s="201">
        <f t="shared" ref="J17" si="11">J16*20%</f>
        <v>0</v>
      </c>
    </row>
    <row r="18" spans="1:15">
      <c r="A18" s="88"/>
      <c r="B18" s="89" t="s">
        <v>191</v>
      </c>
      <c r="C18" s="193" t="s">
        <v>183</v>
      </c>
      <c r="D18" s="202">
        <f>SUM(E18:H18)</f>
        <v>68.017523940134652</v>
      </c>
      <c r="E18" s="201">
        <f>E16-E17</f>
        <v>2.2766852448019681</v>
      </c>
      <c r="F18" s="201">
        <f t="shared" ref="F18:H18" si="12">F16-F17</f>
        <v>17.397980196030211</v>
      </c>
      <c r="G18" s="201">
        <f t="shared" si="12"/>
        <v>30.214286562064039</v>
      </c>
      <c r="H18" s="201">
        <f t="shared" si="12"/>
        <v>18.128571937238426</v>
      </c>
      <c r="I18" s="201">
        <f t="shared" ref="I18:J18" si="13">I16-I17</f>
        <v>0</v>
      </c>
      <c r="J18" s="201">
        <f t="shared" si="13"/>
        <v>0</v>
      </c>
    </row>
    <row r="19" spans="1:15">
      <c r="A19" s="189" t="s">
        <v>100</v>
      </c>
      <c r="B19" s="192" t="s">
        <v>192</v>
      </c>
      <c r="C19" s="190"/>
      <c r="D19" s="195"/>
      <c r="E19" s="195"/>
      <c r="F19" s="190"/>
      <c r="G19" s="196"/>
      <c r="H19" s="196"/>
      <c r="I19" s="196"/>
      <c r="J19" s="196"/>
    </row>
    <row r="20" spans="1:15">
      <c r="A20" s="203">
        <v>1</v>
      </c>
      <c r="B20" s="204" t="s">
        <v>193</v>
      </c>
      <c r="C20" s="205" t="s">
        <v>141</v>
      </c>
      <c r="D20" s="206">
        <f>SUM(D21:D22)</f>
        <v>3525.73</v>
      </c>
      <c r="E20" s="197"/>
      <c r="F20" s="198"/>
      <c r="G20" s="198"/>
      <c r="H20" s="198"/>
      <c r="I20" s="198"/>
      <c r="J20" s="198"/>
    </row>
    <row r="21" spans="1:15">
      <c r="A21" s="88"/>
      <c r="B21" s="89" t="s">
        <v>194</v>
      </c>
      <c r="C21" s="193" t="s">
        <v>141</v>
      </c>
      <c r="D21" s="207">
        <f>'Gia tri khu dat'!C32</f>
        <v>3060.3</v>
      </c>
      <c r="E21" s="197"/>
      <c r="F21" s="198"/>
      <c r="G21" s="199"/>
      <c r="H21" s="199"/>
      <c r="I21" s="199"/>
      <c r="J21" s="199"/>
    </row>
    <row r="22" spans="1:15">
      <c r="A22" s="88"/>
      <c r="B22" s="89" t="s">
        <v>262</v>
      </c>
      <c r="C22" s="193" t="s">
        <v>141</v>
      </c>
      <c r="D22" s="207">
        <v>465.43</v>
      </c>
      <c r="E22" s="197"/>
      <c r="F22" s="198"/>
      <c r="G22" s="199"/>
      <c r="H22" s="199"/>
      <c r="I22" s="199"/>
      <c r="J22" s="199"/>
    </row>
    <row r="23" spans="1:15">
      <c r="A23" s="203">
        <v>2</v>
      </c>
      <c r="B23" s="204" t="s">
        <v>222</v>
      </c>
      <c r="C23" s="205"/>
      <c r="D23" s="206"/>
      <c r="E23" s="197"/>
      <c r="F23" s="198"/>
      <c r="G23" s="198"/>
      <c r="H23" s="198"/>
      <c r="I23" s="198"/>
      <c r="J23" s="198"/>
    </row>
    <row r="24" spans="1:15" ht="31.5">
      <c r="A24" s="88"/>
      <c r="B24" s="89" t="s">
        <v>221</v>
      </c>
      <c r="C24" s="193" t="s">
        <v>145</v>
      </c>
      <c r="D24" s="207">
        <v>100</v>
      </c>
      <c r="E24" s="197"/>
      <c r="F24" s="198"/>
      <c r="G24" s="199"/>
      <c r="H24" s="199"/>
      <c r="I24" s="199"/>
      <c r="J24" s="199"/>
    </row>
    <row r="25" spans="1:15">
      <c r="A25" s="88"/>
      <c r="B25" s="89" t="s">
        <v>262</v>
      </c>
      <c r="C25" s="193" t="s">
        <v>145</v>
      </c>
      <c r="D25" s="201">
        <v>100</v>
      </c>
      <c r="E25" s="197"/>
      <c r="F25" s="198"/>
      <c r="G25" s="199"/>
      <c r="H25" s="199"/>
      <c r="I25" s="199"/>
      <c r="J25" s="199"/>
      <c r="N25" s="188">
        <v>78038</v>
      </c>
      <c r="O25" s="188" t="s">
        <v>93</v>
      </c>
    </row>
    <row r="26" spans="1:15">
      <c r="A26" s="203">
        <v>3</v>
      </c>
      <c r="B26" s="204" t="s">
        <v>223</v>
      </c>
      <c r="C26" s="205"/>
      <c r="D26" s="206"/>
      <c r="E26" s="197"/>
      <c r="F26" s="198"/>
      <c r="G26" s="198"/>
      <c r="H26" s="198"/>
      <c r="I26" s="198"/>
      <c r="J26" s="198"/>
      <c r="N26" s="188">
        <v>2268.4</v>
      </c>
      <c r="O26" s="188" t="s">
        <v>225</v>
      </c>
    </row>
    <row r="27" spans="1:15">
      <c r="A27" s="88"/>
      <c r="B27" s="89" t="s">
        <v>196</v>
      </c>
      <c r="C27" s="193" t="s">
        <v>224</v>
      </c>
      <c r="D27" s="207">
        <v>5</v>
      </c>
      <c r="E27" s="197"/>
      <c r="F27" s="198"/>
      <c r="G27" s="199"/>
      <c r="H27" s="199"/>
      <c r="I27" s="199"/>
      <c r="J27" s="199"/>
      <c r="N27" s="188">
        <v>1500.4</v>
      </c>
      <c r="O27" s="188" t="s">
        <v>226</v>
      </c>
    </row>
    <row r="28" spans="1:15">
      <c r="A28" s="88"/>
      <c r="B28" s="89" t="s">
        <v>262</v>
      </c>
      <c r="C28" s="193" t="s">
        <v>224</v>
      </c>
      <c r="D28" s="201">
        <v>1</v>
      </c>
      <c r="E28" s="197"/>
      <c r="F28" s="198"/>
      <c r="G28" s="199"/>
      <c r="H28" s="199"/>
      <c r="I28" s="199"/>
      <c r="J28" s="199"/>
      <c r="N28" s="188">
        <v>2415.9</v>
      </c>
      <c r="O28" s="188" t="s">
        <v>227</v>
      </c>
    </row>
    <row r="29" spans="1:15">
      <c r="A29" s="203">
        <v>4</v>
      </c>
      <c r="B29" s="204" t="s">
        <v>195</v>
      </c>
      <c r="C29" s="205" t="s">
        <v>141</v>
      </c>
      <c r="D29" s="206">
        <f>D30+D31</f>
        <v>15766.93</v>
      </c>
      <c r="E29" s="197"/>
      <c r="F29" s="198"/>
      <c r="G29" s="198"/>
      <c r="H29" s="198"/>
      <c r="I29" s="198"/>
      <c r="J29" s="198"/>
      <c r="N29" s="188">
        <v>2147.1</v>
      </c>
      <c r="O29" s="188" t="s">
        <v>228</v>
      </c>
    </row>
    <row r="30" spans="1:15">
      <c r="A30" s="88"/>
      <c r="B30" s="89" t="s">
        <v>196</v>
      </c>
      <c r="C30" s="193" t="s">
        <v>141</v>
      </c>
      <c r="D30" s="207">
        <f>+D21*D24*D27%</f>
        <v>15301.5</v>
      </c>
      <c r="E30" s="197"/>
      <c r="F30" s="198"/>
      <c r="G30" s="199"/>
      <c r="H30" s="199"/>
      <c r="I30" s="199"/>
      <c r="J30" s="199"/>
      <c r="N30" s="188" t="e">
        <f>+N25-#REF!-N26-N27-N28-#REF!-N29</f>
        <v>#REF!</v>
      </c>
      <c r="O30" s="188" t="s">
        <v>229</v>
      </c>
    </row>
    <row r="31" spans="1:15">
      <c r="A31" s="88"/>
      <c r="B31" s="89" t="s">
        <v>262</v>
      </c>
      <c r="C31" s="193" t="s">
        <v>141</v>
      </c>
      <c r="D31" s="207">
        <f>+D22*D25*D28%</f>
        <v>465.43</v>
      </c>
      <c r="E31" s="197"/>
      <c r="F31" s="198"/>
      <c r="G31" s="199"/>
      <c r="H31" s="199"/>
      <c r="I31" s="199"/>
      <c r="J31" s="199"/>
    </row>
    <row r="32" spans="1:15">
      <c r="A32" s="203">
        <v>3</v>
      </c>
      <c r="B32" s="204" t="s">
        <v>197</v>
      </c>
      <c r="C32" s="205"/>
      <c r="D32" s="208"/>
      <c r="E32" s="197"/>
      <c r="F32" s="198"/>
      <c r="G32" s="198"/>
      <c r="H32" s="198"/>
      <c r="I32" s="198"/>
      <c r="J32" s="198"/>
    </row>
    <row r="33" spans="1:17">
      <c r="A33" s="209" t="s">
        <v>143</v>
      </c>
      <c r="B33" s="210" t="s">
        <v>198</v>
      </c>
      <c r="C33" s="193"/>
      <c r="D33" s="197"/>
      <c r="E33" s="197"/>
      <c r="F33" s="197"/>
      <c r="G33" s="197"/>
      <c r="H33" s="197"/>
      <c r="I33" s="197"/>
      <c r="J33" s="197"/>
    </row>
    <row r="34" spans="1:17">
      <c r="A34" s="88"/>
      <c r="B34" s="89" t="s">
        <v>194</v>
      </c>
      <c r="C34" s="193" t="s">
        <v>199</v>
      </c>
      <c r="D34" s="197"/>
      <c r="E34" s="211"/>
      <c r="F34" s="201"/>
      <c r="G34" s="201"/>
      <c r="H34" s="201">
        <v>61.5</v>
      </c>
      <c r="I34" s="201">
        <f>H34*1</f>
        <v>61.5</v>
      </c>
      <c r="J34" s="201">
        <f>I34*1</f>
        <v>61.5</v>
      </c>
    </row>
    <row r="35" spans="1:17">
      <c r="A35" s="209" t="s">
        <v>200</v>
      </c>
      <c r="B35" s="212" t="s">
        <v>201</v>
      </c>
      <c r="C35" s="193"/>
      <c r="D35" s="197"/>
      <c r="E35" s="197"/>
      <c r="F35" s="198"/>
      <c r="G35" s="198"/>
      <c r="H35" s="198"/>
      <c r="I35" s="198"/>
      <c r="J35" s="198"/>
    </row>
    <row r="36" spans="1:17">
      <c r="A36" s="88"/>
      <c r="B36" s="89" t="s">
        <v>202</v>
      </c>
      <c r="C36" s="193" t="s">
        <v>145</v>
      </c>
      <c r="D36" s="198">
        <f>SUM(E36:J36)</f>
        <v>1</v>
      </c>
      <c r="E36" s="198">
        <v>0</v>
      </c>
      <c r="F36" s="198">
        <v>0</v>
      </c>
      <c r="G36" s="198">
        <v>0</v>
      </c>
      <c r="H36" s="198">
        <v>0.2</v>
      </c>
      <c r="I36" s="198">
        <v>0.4</v>
      </c>
      <c r="J36" s="198">
        <f>1-H36-I36</f>
        <v>0.4</v>
      </c>
    </row>
    <row r="37" spans="1:17">
      <c r="A37" s="88"/>
      <c r="B37" s="89" t="s">
        <v>203</v>
      </c>
      <c r="C37" s="193" t="s">
        <v>145</v>
      </c>
      <c r="D37" s="198">
        <f>SUM(E37:J37)</f>
        <v>0</v>
      </c>
      <c r="E37" s="198"/>
      <c r="F37" s="198">
        <v>0</v>
      </c>
      <c r="G37" s="198">
        <v>0</v>
      </c>
      <c r="H37" s="198">
        <v>0</v>
      </c>
      <c r="I37" s="198">
        <v>0</v>
      </c>
      <c r="J37" s="198">
        <v>0</v>
      </c>
    </row>
    <row r="38" spans="1:17">
      <c r="A38" s="203">
        <v>4</v>
      </c>
      <c r="B38" s="204" t="s">
        <v>204</v>
      </c>
      <c r="C38" s="205" t="s">
        <v>183</v>
      </c>
      <c r="D38" s="205">
        <f>SUM(E38:J38)</f>
        <v>188.20845000000003</v>
      </c>
      <c r="E38" s="205">
        <f>E39</f>
        <v>0</v>
      </c>
      <c r="F38" s="205">
        <f>F39</f>
        <v>0</v>
      </c>
      <c r="G38" s="205">
        <f t="shared" ref="G38:J38" si="14">G39</f>
        <v>0</v>
      </c>
      <c r="H38" s="205">
        <f t="shared" si="14"/>
        <v>37.641690000000004</v>
      </c>
      <c r="I38" s="205">
        <f t="shared" si="14"/>
        <v>75.283380000000008</v>
      </c>
      <c r="J38" s="205">
        <f t="shared" si="14"/>
        <v>75.283380000000008</v>
      </c>
      <c r="K38" s="213"/>
    </row>
    <row r="39" spans="1:17">
      <c r="A39" s="209" t="s">
        <v>144</v>
      </c>
      <c r="B39" s="210" t="s">
        <v>198</v>
      </c>
      <c r="C39" s="214" t="s">
        <v>183</v>
      </c>
      <c r="D39" s="215">
        <f t="shared" ref="D39:J39" si="15">SUM(D40:D40)</f>
        <v>188.20845000000003</v>
      </c>
      <c r="E39" s="215">
        <f t="shared" si="15"/>
        <v>0</v>
      </c>
      <c r="F39" s="215">
        <f>SUM(F40:F40)</f>
        <v>0</v>
      </c>
      <c r="G39" s="215">
        <f t="shared" si="15"/>
        <v>0</v>
      </c>
      <c r="H39" s="215">
        <f t="shared" si="15"/>
        <v>37.641690000000004</v>
      </c>
      <c r="I39" s="215">
        <f t="shared" si="15"/>
        <v>75.283380000000008</v>
      </c>
      <c r="J39" s="215">
        <f t="shared" si="15"/>
        <v>75.283380000000008</v>
      </c>
    </row>
    <row r="40" spans="1:17">
      <c r="A40" s="88"/>
      <c r="B40" s="89" t="s">
        <v>194</v>
      </c>
      <c r="C40" s="193" t="s">
        <v>183</v>
      </c>
      <c r="D40" s="201">
        <f>SUM(E40:J40)</f>
        <v>188.20845000000003</v>
      </c>
      <c r="E40" s="201">
        <f t="shared" ref="E40:J40" si="16">$D21*E34*E36/1000</f>
        <v>0</v>
      </c>
      <c r="F40" s="201">
        <f t="shared" si="16"/>
        <v>0</v>
      </c>
      <c r="G40" s="201">
        <f t="shared" si="16"/>
        <v>0</v>
      </c>
      <c r="H40" s="201">
        <f t="shared" si="16"/>
        <v>37.641690000000004</v>
      </c>
      <c r="I40" s="201">
        <f t="shared" si="16"/>
        <v>75.283380000000008</v>
      </c>
      <c r="J40" s="201">
        <f t="shared" si="16"/>
        <v>75.283380000000008</v>
      </c>
    </row>
    <row r="41" spans="1:17" ht="19.5" hidden="1" customHeight="1">
      <c r="A41" s="189" t="s">
        <v>102</v>
      </c>
      <c r="B41" s="192" t="s">
        <v>205</v>
      </c>
      <c r="C41" s="190" t="s">
        <v>183</v>
      </c>
      <c r="D41" s="194">
        <f>SUM(E41:H41)</f>
        <v>129.11180401826547</v>
      </c>
      <c r="E41" s="216">
        <f>SUM(E42:E45)+E47</f>
        <v>60.825242801810624</v>
      </c>
      <c r="F41" s="216">
        <f>SUM(F43:F45)+F47</f>
        <v>23.436270858402192</v>
      </c>
      <c r="G41" s="216">
        <f t="shared" ref="G41:H41" si="17">SUM(G43:G45)+G47</f>
        <v>33.035041903563901</v>
      </c>
      <c r="H41" s="216">
        <f t="shared" si="17"/>
        <v>11.815248454488772</v>
      </c>
      <c r="Q41" s="217">
        <v>296350988000</v>
      </c>
    </row>
    <row r="42" spans="1:17" ht="60" hidden="1" customHeight="1">
      <c r="A42" s="218">
        <v>1</v>
      </c>
      <c r="B42" s="219" t="s">
        <v>206</v>
      </c>
      <c r="C42" s="220"/>
      <c r="D42" s="201">
        <f t="shared" ref="D42" si="18">SUM(E42:H42)</f>
        <v>57.785868000000001</v>
      </c>
      <c r="E42" s="221">
        <f>32103.26*1800000/1000000000</f>
        <v>57.785868000000001</v>
      </c>
      <c r="F42" s="221">
        <v>0</v>
      </c>
      <c r="G42" s="221">
        <v>0</v>
      </c>
      <c r="H42" s="221">
        <v>0</v>
      </c>
      <c r="Q42" s="217"/>
    </row>
    <row r="43" spans="1:17" ht="30" hidden="1" customHeight="1">
      <c r="A43" s="88">
        <v>2</v>
      </c>
      <c r="B43" s="89" t="s">
        <v>207</v>
      </c>
      <c r="C43" s="193" t="s">
        <v>183</v>
      </c>
      <c r="D43" s="201">
        <f t="shared" ref="D43" si="19">SUM(E43:H43)</f>
        <v>1.8820845000000004</v>
      </c>
      <c r="E43" s="201">
        <f>E38*5%</f>
        <v>0</v>
      </c>
      <c r="F43" s="201">
        <f>F38*5%</f>
        <v>0</v>
      </c>
      <c r="G43" s="201">
        <f>G38*5%</f>
        <v>0</v>
      </c>
      <c r="H43" s="201">
        <f>H38*5%</f>
        <v>1.8820845000000004</v>
      </c>
      <c r="Q43" s="222">
        <v>37458000000</v>
      </c>
    </row>
    <row r="44" spans="1:17" ht="35.25" hidden="1" customHeight="1">
      <c r="A44" s="88"/>
      <c r="B44" s="89"/>
      <c r="C44" s="193"/>
      <c r="D44" s="201"/>
      <c r="E44" s="201"/>
      <c r="F44" s="201"/>
      <c r="G44" s="201"/>
      <c r="H44" s="201"/>
      <c r="Q44" s="223">
        <v>60392000000</v>
      </c>
    </row>
    <row r="45" spans="1:17" ht="45" hidden="1" customHeight="1">
      <c r="A45" s="88">
        <v>3</v>
      </c>
      <c r="B45" s="89" t="s">
        <v>208</v>
      </c>
      <c r="C45" s="193"/>
      <c r="D45" s="201">
        <f>+D7+D10+D13</f>
        <v>85.0219049251683</v>
      </c>
      <c r="E45" s="201">
        <f>+E7+E10+E13</f>
        <v>2.84585655600246</v>
      </c>
      <c r="F45" s="201">
        <f>+F7+F10+F13</f>
        <v>21.747475245037762</v>
      </c>
      <c r="G45" s="201">
        <f>+G7+G10+G13</f>
        <v>37.767858202580051</v>
      </c>
      <c r="H45" s="201">
        <f>+H7+H10+H13</f>
        <v>22.660714921548031</v>
      </c>
      <c r="Q45" s="223">
        <v>107165000000</v>
      </c>
    </row>
    <row r="46" spans="1:17" ht="20.45" hidden="1" customHeight="1">
      <c r="A46" s="88"/>
      <c r="B46" s="89" t="s">
        <v>209</v>
      </c>
      <c r="C46" s="193" t="s">
        <v>183</v>
      </c>
      <c r="D46" s="202">
        <f>('[1]PA chọn'!F26+'[1]PA chọn'!F30)*0.8/1000000</f>
        <v>358.17152538400006</v>
      </c>
      <c r="E46" s="201">
        <v>0</v>
      </c>
      <c r="F46" s="201">
        <f>0.3*D46</f>
        <v>107.45145761520001</v>
      </c>
      <c r="G46" s="201">
        <f>0.3*D46</f>
        <v>107.45145761520001</v>
      </c>
      <c r="H46" s="201">
        <f>0.4*D46</f>
        <v>143.26861015360004</v>
      </c>
      <c r="Q46" s="224">
        <f>+Q41-Q43-Q44-Q45</f>
        <v>91335988000</v>
      </c>
    </row>
    <row r="47" spans="1:17" ht="19.5" hidden="1" customHeight="1">
      <c r="A47" s="88">
        <v>4</v>
      </c>
      <c r="B47" s="89" t="s">
        <v>210</v>
      </c>
      <c r="C47" s="193" t="s">
        <v>183</v>
      </c>
      <c r="D47" s="201">
        <f>SUM(E47:H47)</f>
        <v>-15.578053406902816</v>
      </c>
      <c r="E47" s="201">
        <f>E48*8.5%</f>
        <v>0.19351824580816732</v>
      </c>
      <c r="F47" s="201">
        <f t="shared" ref="F47:H47" si="20">F48*8.5%</f>
        <v>1.6887956133644295</v>
      </c>
      <c r="G47" s="201">
        <f t="shared" si="20"/>
        <v>-4.7328162990161529</v>
      </c>
      <c r="H47" s="201">
        <f t="shared" si="20"/>
        <v>-12.72755096705926</v>
      </c>
    </row>
    <row r="48" spans="1:17" ht="19.5" hidden="1" customHeight="1">
      <c r="A48" s="88"/>
      <c r="B48" s="89" t="s">
        <v>211</v>
      </c>
      <c r="C48" s="193" t="s">
        <v>183</v>
      </c>
      <c r="D48" s="201"/>
      <c r="E48" s="201">
        <f>E18</f>
        <v>2.2766852448019681</v>
      </c>
      <c r="F48" s="201">
        <f>E49+F18</f>
        <v>19.868183686640347</v>
      </c>
      <c r="G48" s="201">
        <f>F49+G18</f>
        <v>-55.680191753131204</v>
      </c>
      <c r="H48" s="201">
        <f>G49+H18</f>
        <v>-149.73589373010893</v>
      </c>
    </row>
    <row r="49" spans="1:8" ht="19.5" hidden="1" customHeight="1">
      <c r="A49" s="88"/>
      <c r="B49" s="89" t="s">
        <v>212</v>
      </c>
      <c r="C49" s="193" t="s">
        <v>183</v>
      </c>
      <c r="D49" s="201"/>
      <c r="E49" s="201">
        <f>E48+E47</f>
        <v>2.4702034906101353</v>
      </c>
      <c r="F49" s="201">
        <f>F48+F47-F46</f>
        <v>-85.894478315195244</v>
      </c>
      <c r="G49" s="201">
        <f>G48+G47-G46</f>
        <v>-167.86446566734736</v>
      </c>
      <c r="H49" s="201">
        <f>H48+H47-H46</f>
        <v>-305.73205485076824</v>
      </c>
    </row>
    <row r="50" spans="1:8" ht="19.5" hidden="1" customHeight="1">
      <c r="A50" s="189" t="s">
        <v>146</v>
      </c>
      <c r="B50" s="192" t="s">
        <v>213</v>
      </c>
      <c r="C50" s="190"/>
      <c r="D50" s="195"/>
      <c r="E50" s="195"/>
      <c r="F50" s="190"/>
      <c r="G50" s="196"/>
      <c r="H50" s="196"/>
    </row>
    <row r="51" spans="1:8" ht="19.5" hidden="1" customHeight="1">
      <c r="A51" s="203">
        <v>1</v>
      </c>
      <c r="B51" s="204" t="s">
        <v>214</v>
      </c>
      <c r="C51" s="205" t="s">
        <v>183</v>
      </c>
      <c r="D51" s="205">
        <f>SUM(E51:H51)</f>
        <v>-91.470114018265477</v>
      </c>
      <c r="E51" s="225">
        <f>E38-E41</f>
        <v>-60.825242801810624</v>
      </c>
      <c r="F51" s="225">
        <f>F38-F41</f>
        <v>-23.436270858402192</v>
      </c>
      <c r="G51" s="225">
        <f>G38-G41</f>
        <v>-33.035041903563901</v>
      </c>
      <c r="H51" s="225">
        <f>H38-H41</f>
        <v>25.82644154551123</v>
      </c>
    </row>
    <row r="52" spans="1:8" ht="19.5" hidden="1" customHeight="1">
      <c r="A52" s="88"/>
      <c r="B52" s="89" t="s">
        <v>215</v>
      </c>
      <c r="C52" s="193" t="s">
        <v>183</v>
      </c>
      <c r="D52" s="201">
        <f>SUM(E52:H52)</f>
        <v>3.7641690000000008</v>
      </c>
      <c r="E52" s="201">
        <v>0</v>
      </c>
      <c r="F52" s="201">
        <f>F38*10%</f>
        <v>0</v>
      </c>
      <c r="G52" s="201">
        <f>G38*10%</f>
        <v>0</v>
      </c>
      <c r="H52" s="201">
        <f>H38*10%</f>
        <v>3.7641690000000008</v>
      </c>
    </row>
    <row r="53" spans="1:8" ht="19.5" hidden="1" customHeight="1">
      <c r="A53" s="203">
        <v>2</v>
      </c>
      <c r="B53" s="204" t="s">
        <v>216</v>
      </c>
      <c r="C53" s="205" t="s">
        <v>183</v>
      </c>
      <c r="D53" s="205">
        <f>SUM(E53:H53)</f>
        <v>-34.409040216454862</v>
      </c>
      <c r="E53" s="225">
        <v>0</v>
      </c>
      <c r="F53" s="225">
        <f>F51-F52</f>
        <v>-23.436270858402192</v>
      </c>
      <c r="G53" s="225">
        <f t="shared" ref="G53:H53" si="21">G51-G52</f>
        <v>-33.035041903563901</v>
      </c>
      <c r="H53" s="225">
        <f t="shared" si="21"/>
        <v>22.062272545511227</v>
      </c>
    </row>
    <row r="54" spans="1:8" ht="35.25" hidden="1" customHeight="1">
      <c r="A54" s="88"/>
      <c r="B54" s="89" t="s">
        <v>217</v>
      </c>
      <c r="C54" s="193" t="s">
        <v>183</v>
      </c>
      <c r="D54" s="201">
        <f>SUM(E54:H54)</f>
        <v>-6.8818080432909747</v>
      </c>
      <c r="E54" s="201">
        <f t="shared" ref="E54:H54" si="22">E53*20%</f>
        <v>0</v>
      </c>
      <c r="F54" s="201">
        <f t="shared" si="22"/>
        <v>-4.687254171680439</v>
      </c>
      <c r="G54" s="201">
        <f t="shared" si="22"/>
        <v>-6.6070083807127808</v>
      </c>
      <c r="H54" s="201">
        <f t="shared" si="22"/>
        <v>4.412454509102246</v>
      </c>
    </row>
    <row r="55" spans="1:8" ht="19.5" hidden="1" customHeight="1">
      <c r="A55" s="203">
        <v>3</v>
      </c>
      <c r="B55" s="204" t="s">
        <v>218</v>
      </c>
      <c r="C55" s="205" t="s">
        <v>183</v>
      </c>
      <c r="D55" s="205">
        <f>SUM(E55:H55)</f>
        <v>-27.527232173163888</v>
      </c>
      <c r="E55" s="205">
        <f t="shared" ref="E55:H55" si="23">E53-E54</f>
        <v>0</v>
      </c>
      <c r="F55" s="205">
        <f>F53-F54</f>
        <v>-18.749016686721752</v>
      </c>
      <c r="G55" s="205">
        <f t="shared" si="23"/>
        <v>-26.42803352285112</v>
      </c>
      <c r="H55" s="205">
        <f t="shared" si="23"/>
        <v>17.649818036408981</v>
      </c>
    </row>
    <row r="57" spans="1:8">
      <c r="D57" s="226"/>
    </row>
    <row r="61" spans="1:8">
      <c r="D61" s="226"/>
    </row>
    <row r="62" spans="1:8">
      <c r="D62" s="226"/>
    </row>
  </sheetData>
  <mergeCells count="2">
    <mergeCell ref="A2:J2"/>
    <mergeCell ref="A1:J1"/>
  </mergeCells>
  <pageMargins left="0.70866141732283472" right="0.31496062992125984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zoomScale="85" zoomScaleNormal="85" workbookViewId="0">
      <selection activeCell="C10" sqref="C10"/>
    </sheetView>
  </sheetViews>
  <sheetFormatPr defaultColWidth="9.140625" defaultRowHeight="30" customHeight="1"/>
  <cols>
    <col min="1" max="1" width="5.28515625" style="1" customWidth="1"/>
    <col min="2" max="2" width="40.140625" style="1" customWidth="1"/>
    <col min="3" max="3" width="14.140625" style="1" customWidth="1"/>
    <col min="4" max="4" width="14.7109375" style="1" customWidth="1"/>
    <col min="5" max="5" width="15.7109375" style="1" customWidth="1"/>
    <col min="6" max="6" width="14.28515625" style="1" customWidth="1"/>
    <col min="7" max="7" width="14.42578125" style="1" customWidth="1"/>
    <col min="8" max="8" width="14" style="1" customWidth="1"/>
    <col min="9" max="9" width="36.85546875" style="1" customWidth="1"/>
    <col min="10" max="16384" width="9.140625" style="1"/>
  </cols>
  <sheetData>
    <row r="1" spans="1:9" ht="34.5" customHeight="1">
      <c r="A1" s="268" t="s">
        <v>267</v>
      </c>
      <c r="B1" s="268"/>
      <c r="C1" s="268"/>
      <c r="D1" s="268"/>
      <c r="E1" s="268"/>
      <c r="F1" s="268"/>
      <c r="G1" s="268"/>
      <c r="H1" s="268"/>
    </row>
    <row r="2" spans="1:9" ht="30" hidden="1" customHeight="1">
      <c r="C2" s="18">
        <v>0.1</v>
      </c>
      <c r="F2" s="2">
        <v>400000</v>
      </c>
    </row>
    <row r="3" spans="1:9" ht="28.5" customHeight="1">
      <c r="E3" s="269" t="s">
        <v>139</v>
      </c>
      <c r="F3" s="269"/>
      <c r="G3" s="269"/>
      <c r="H3" s="269"/>
    </row>
    <row r="4" spans="1:9" s="10" customFormat="1" ht="24.75" customHeight="1">
      <c r="A4" s="35" t="s">
        <v>273</v>
      </c>
      <c r="B4" s="35" t="s">
        <v>1</v>
      </c>
      <c r="C4" s="35" t="s">
        <v>2</v>
      </c>
      <c r="D4" s="35" t="s">
        <v>20</v>
      </c>
      <c r="E4" s="35" t="s">
        <v>14</v>
      </c>
      <c r="F4" s="35" t="s">
        <v>15</v>
      </c>
      <c r="G4" s="35" t="s">
        <v>9</v>
      </c>
      <c r="H4" s="35" t="s">
        <v>10</v>
      </c>
    </row>
    <row r="5" spans="1:9" ht="23.25" customHeight="1">
      <c r="A5" s="55"/>
      <c r="B5" s="55"/>
      <c r="C5" s="55">
        <v>0</v>
      </c>
      <c r="D5" s="55">
        <v>1</v>
      </c>
      <c r="E5" s="55">
        <v>2</v>
      </c>
      <c r="F5" s="55">
        <v>3</v>
      </c>
      <c r="G5" s="55">
        <v>4</v>
      </c>
      <c r="H5" s="55">
        <v>5</v>
      </c>
    </row>
    <row r="6" spans="1:9" ht="24.95" customHeight="1">
      <c r="A6" s="55">
        <v>1</v>
      </c>
      <c r="B6" s="38" t="s">
        <v>61</v>
      </c>
      <c r="C6" s="227">
        <f>'kinh doanh'!E4*1000</f>
        <v>2845.8565560024599</v>
      </c>
      <c r="D6" s="227">
        <f>'kinh doanh'!F4*1000</f>
        <v>21747.475245037764</v>
      </c>
      <c r="E6" s="227">
        <f>'kinh doanh'!G4*1000</f>
        <v>37767.85820258005</v>
      </c>
      <c r="F6" s="227">
        <f>'kinh doanh'!H4*1000</f>
        <v>22660.714921548031</v>
      </c>
      <c r="G6" s="81"/>
      <c r="H6" s="81"/>
    </row>
    <row r="7" spans="1:9" ht="24.95" customHeight="1">
      <c r="A7" s="55">
        <v>2</v>
      </c>
      <c r="B7" s="39" t="s">
        <v>3</v>
      </c>
      <c r="C7" s="82"/>
      <c r="D7" s="80">
        <f t="shared" ref="D7:H7" si="0">+D8+D9</f>
        <v>0</v>
      </c>
      <c r="E7" s="80">
        <f t="shared" si="0"/>
        <v>0</v>
      </c>
      <c r="F7" s="80">
        <f t="shared" si="0"/>
        <v>37641.69</v>
      </c>
      <c r="G7" s="80">
        <f t="shared" si="0"/>
        <v>75283.38</v>
      </c>
      <c r="H7" s="80">
        <f t="shared" si="0"/>
        <v>75283.38</v>
      </c>
    </row>
    <row r="8" spans="1:9" ht="34.5" customHeight="1">
      <c r="A8" s="55" t="s">
        <v>4</v>
      </c>
      <c r="B8" s="40" t="s">
        <v>263</v>
      </c>
      <c r="C8" s="81"/>
      <c r="D8" s="80"/>
      <c r="E8" s="80"/>
      <c r="F8" s="80">
        <f>('kinh doanh'!D11)*1000</f>
        <v>0</v>
      </c>
      <c r="G8" s="80"/>
      <c r="H8" s="80">
        <f>+G8</f>
        <v>0</v>
      </c>
    </row>
    <row r="9" spans="1:9" ht="35.25" customHeight="1">
      <c r="A9" s="55" t="s">
        <v>98</v>
      </c>
      <c r="B9" s="40" t="s">
        <v>99</v>
      </c>
      <c r="C9" s="81"/>
      <c r="D9" s="80">
        <f>'kinh doanh'!F38</f>
        <v>0</v>
      </c>
      <c r="E9" s="80">
        <f>'kinh doanh'!G38</f>
        <v>0</v>
      </c>
      <c r="F9" s="80">
        <f>'kinh doanh'!H38*1000</f>
        <v>37641.69</v>
      </c>
      <c r="G9" s="80">
        <f>'kinh doanh'!I38*1000</f>
        <v>75283.38</v>
      </c>
      <c r="H9" s="80">
        <f>'kinh doanh'!J38*1000</f>
        <v>75283.38</v>
      </c>
    </row>
    <row r="10" spans="1:9" ht="21" customHeight="1">
      <c r="A10" s="55">
        <v>3</v>
      </c>
      <c r="B10" s="41" t="s">
        <v>58</v>
      </c>
      <c r="C10" s="80">
        <f>+'Bảng tính chi phí'!C12</f>
        <v>28101.04779375</v>
      </c>
      <c r="D10" s="80">
        <f>+'Bảng tính chi phí'!D12</f>
        <v>0</v>
      </c>
      <c r="E10" s="80">
        <f>+'Bảng tính chi phí'!E12</f>
        <v>0</v>
      </c>
      <c r="F10" s="80">
        <f>+'Bảng tính chi phí'!F12</f>
        <v>75.283380000000008</v>
      </c>
      <c r="G10" s="80">
        <f>+'Bảng tính chi phí'!G12</f>
        <v>150.56676000000002</v>
      </c>
      <c r="H10" s="80">
        <f>+'Bảng tính chi phí'!H12</f>
        <v>150.56676000000002</v>
      </c>
    </row>
    <row r="11" spans="1:9" ht="21" customHeight="1">
      <c r="A11" s="55">
        <v>4</v>
      </c>
      <c r="B11" s="41" t="s">
        <v>60</v>
      </c>
      <c r="C11" s="82"/>
      <c r="D11" s="80">
        <f>+'Bảng tính lãi vay'!E11</f>
        <v>5781.4895349114458</v>
      </c>
      <c r="E11" s="80">
        <f>+'Bảng tính lãi vay'!E12</f>
        <v>4625.1916279291563</v>
      </c>
      <c r="F11" s="80">
        <f>+'Bảng tính lãi vay'!E13</f>
        <v>3468.8937209468677</v>
      </c>
      <c r="G11" s="80">
        <f>+'Bảng tính lãi vay'!E14</f>
        <v>2312.5958139645786</v>
      </c>
      <c r="H11" s="80"/>
    </row>
    <row r="12" spans="1:9" ht="31.5">
      <c r="A12" s="55">
        <v>5</v>
      </c>
      <c r="B12" s="41" t="s">
        <v>103</v>
      </c>
      <c r="C12" s="83"/>
      <c r="D12" s="84">
        <f>'Bảng tính lãi vay'!$H$3/20</f>
        <v>0</v>
      </c>
      <c r="E12" s="84">
        <f>'Bảng tính lãi vay'!$H$3/20</f>
        <v>0</v>
      </c>
      <c r="F12" s="84">
        <f>'Bảng tính lãi vay'!$H$3/20</f>
        <v>0</v>
      </c>
      <c r="G12" s="84">
        <f>'Bảng tính lãi vay'!$H$3/20</f>
        <v>0</v>
      </c>
      <c r="H12" s="84">
        <f>'Bảng tính lãi vay'!$H$3/20</f>
        <v>0</v>
      </c>
    </row>
    <row r="13" spans="1:9" ht="21" customHeight="1">
      <c r="A13" s="55">
        <v>6</v>
      </c>
      <c r="B13" s="41" t="s">
        <v>6</v>
      </c>
      <c r="C13" s="82"/>
      <c r="D13" s="80">
        <f>+D7-D10-D11-D12-D6</f>
        <v>-27528.964779949209</v>
      </c>
      <c r="E13" s="80">
        <f t="shared" ref="E13:H13" si="1">+E7-E10-E11-E12-E6</f>
        <v>-42393.049830509204</v>
      </c>
      <c r="F13" s="80">
        <f t="shared" si="1"/>
        <v>11436.797977505106</v>
      </c>
      <c r="G13" s="80">
        <f t="shared" si="1"/>
        <v>72820.217426035422</v>
      </c>
      <c r="H13" s="80">
        <f t="shared" si="1"/>
        <v>75132.813240000003</v>
      </c>
    </row>
    <row r="14" spans="1:9" ht="21" customHeight="1">
      <c r="A14" s="55">
        <v>7</v>
      </c>
      <c r="B14" s="41" t="s">
        <v>7</v>
      </c>
      <c r="C14" s="80">
        <v>0</v>
      </c>
      <c r="D14" s="80">
        <f t="shared" ref="D14:H14" si="2">D13*20%</f>
        <v>-5505.7929559898421</v>
      </c>
      <c r="E14" s="80">
        <f t="shared" si="2"/>
        <v>-8478.6099661018416</v>
      </c>
      <c r="F14" s="80">
        <f t="shared" si="2"/>
        <v>2287.3595955010214</v>
      </c>
      <c r="G14" s="80">
        <f t="shared" si="2"/>
        <v>14564.043485207085</v>
      </c>
      <c r="H14" s="80">
        <f t="shared" si="2"/>
        <v>15026.562648000001</v>
      </c>
    </row>
    <row r="15" spans="1:9" ht="21" customHeight="1">
      <c r="A15" s="55">
        <v>8</v>
      </c>
      <c r="B15" s="41" t="s">
        <v>8</v>
      </c>
      <c r="C15" s="85">
        <f>-C6-C10</f>
        <v>-30946.904349752462</v>
      </c>
      <c r="D15" s="80">
        <f>+D13-D14</f>
        <v>-22023.171823959368</v>
      </c>
      <c r="E15" s="80">
        <f>E13-E14</f>
        <v>-33914.439864407366</v>
      </c>
      <c r="F15" s="80">
        <f t="shared" ref="F15:H15" si="3">F13-F14</f>
        <v>9149.4383820040857</v>
      </c>
      <c r="G15" s="80">
        <f t="shared" si="3"/>
        <v>58256.173940828339</v>
      </c>
      <c r="H15" s="80">
        <f t="shared" si="3"/>
        <v>60106.250592000004</v>
      </c>
      <c r="I15" s="240"/>
    </row>
    <row r="16" spans="1:9" ht="21" customHeight="1">
      <c r="A16" s="55">
        <v>9</v>
      </c>
      <c r="B16" s="42" t="s">
        <v>79</v>
      </c>
      <c r="C16" s="86">
        <f>+C15/(1+C2)^C5</f>
        <v>-30946.904349752462</v>
      </c>
      <c r="D16" s="251">
        <f t="shared" ref="D16:H16" si="4">+D15/(1+$C$2)^D5</f>
        <v>-20021.065294508517</v>
      </c>
      <c r="E16" s="251">
        <f>+E15/(1+$C$2)^E5</f>
        <v>-28028.462697857321</v>
      </c>
      <c r="F16" s="87">
        <f t="shared" si="4"/>
        <v>6874.1084763366516</v>
      </c>
      <c r="G16" s="87">
        <f t="shared" si="4"/>
        <v>39789.750659673744</v>
      </c>
      <c r="H16" s="87">
        <f t="shared" si="4"/>
        <v>37321.252641709762</v>
      </c>
    </row>
    <row r="17" spans="1:9" ht="21" customHeight="1">
      <c r="A17" s="55">
        <v>10</v>
      </c>
      <c r="B17" s="42" t="s">
        <v>78</v>
      </c>
      <c r="C17" s="86">
        <f>+C16</f>
        <v>-30946.904349752462</v>
      </c>
      <c r="D17" s="86">
        <f>+C17+D16</f>
        <v>-50967.969644260978</v>
      </c>
      <c r="E17" s="86">
        <f t="shared" ref="E17:H17" si="5">+D17+E16</f>
        <v>-78996.432342118293</v>
      </c>
      <c r="F17" s="86">
        <f t="shared" si="5"/>
        <v>-72122.32386578164</v>
      </c>
      <c r="G17" s="86">
        <f t="shared" si="5"/>
        <v>-32332.573206107896</v>
      </c>
      <c r="H17" s="86">
        <f t="shared" si="5"/>
        <v>4988.6794356018654</v>
      </c>
    </row>
    <row r="18" spans="1:9" ht="21" customHeight="1">
      <c r="A18" s="236"/>
      <c r="B18" s="42" t="s">
        <v>230</v>
      </c>
      <c r="C18" s="86">
        <f>+C7</f>
        <v>0</v>
      </c>
      <c r="D18" s="86">
        <f t="shared" ref="D18:H18" si="6">+D7</f>
        <v>0</v>
      </c>
      <c r="E18" s="86">
        <f t="shared" si="6"/>
        <v>0</v>
      </c>
      <c r="F18" s="86">
        <f t="shared" si="6"/>
        <v>37641.69</v>
      </c>
      <c r="G18" s="86">
        <f t="shared" si="6"/>
        <v>75283.38</v>
      </c>
      <c r="H18" s="86">
        <f t="shared" si="6"/>
        <v>75283.38</v>
      </c>
    </row>
    <row r="19" spans="1:9" ht="21" customHeight="1">
      <c r="A19" s="236"/>
      <c r="B19" s="42" t="s">
        <v>231</v>
      </c>
      <c r="C19" s="86">
        <f>+C6+C10+C11</f>
        <v>30946.904349752462</v>
      </c>
      <c r="D19" s="86">
        <f t="shared" ref="D19:H19" si="7">+D6+D10+D11</f>
        <v>27528.964779949209</v>
      </c>
      <c r="E19" s="86">
        <f t="shared" si="7"/>
        <v>42393.049830509204</v>
      </c>
      <c r="F19" s="86">
        <f t="shared" si="7"/>
        <v>26204.8920224949</v>
      </c>
      <c r="G19" s="86">
        <f t="shared" si="7"/>
        <v>2463.1625739645788</v>
      </c>
      <c r="H19" s="86">
        <f t="shared" si="7"/>
        <v>150.56676000000002</v>
      </c>
    </row>
    <row r="20" spans="1:9" ht="21" customHeight="1">
      <c r="A20" s="236"/>
      <c r="B20" s="42" t="s">
        <v>232</v>
      </c>
      <c r="C20" s="86">
        <f>+C18/(1+0.1)^C5</f>
        <v>0</v>
      </c>
      <c r="D20" s="86">
        <f t="shared" ref="D20:H20" si="8">+D18/(1+0.1)^D5</f>
        <v>0</v>
      </c>
      <c r="E20" s="86">
        <f t="shared" si="8"/>
        <v>0</v>
      </c>
      <c r="F20" s="86">
        <f t="shared" si="8"/>
        <v>28280.758827948903</v>
      </c>
      <c r="G20" s="86">
        <f t="shared" si="8"/>
        <v>51419.561505361642</v>
      </c>
      <c r="H20" s="86">
        <f t="shared" si="8"/>
        <v>46745.05591396513</v>
      </c>
    </row>
    <row r="21" spans="1:9" ht="21" customHeight="1">
      <c r="A21" s="236"/>
      <c r="B21" s="42" t="s">
        <v>233</v>
      </c>
      <c r="C21" s="86">
        <f>+C19/(1+0.1)^C5</f>
        <v>30946.904349752462</v>
      </c>
      <c r="D21" s="86">
        <f t="shared" ref="D21:H21" si="9">+D19/(1+0.1)^D5</f>
        <v>25026.331618135642</v>
      </c>
      <c r="E21" s="86">
        <f t="shared" si="9"/>
        <v>35035.578372321652</v>
      </c>
      <c r="F21" s="86">
        <f t="shared" si="9"/>
        <v>19688.123232528094</v>
      </c>
      <c r="G21" s="86">
        <f t="shared" si="9"/>
        <v>1682.373180769468</v>
      </c>
      <c r="H21" s="86">
        <f t="shared" si="9"/>
        <v>93.490111827930264</v>
      </c>
    </row>
    <row r="22" spans="1:9" ht="21" customHeight="1">
      <c r="A22" s="236"/>
      <c r="B22" s="42" t="s">
        <v>234</v>
      </c>
      <c r="C22" s="86">
        <f>+SUM(C20:H20)/SUM(C21:H21)</f>
        <v>1.1242307053299927</v>
      </c>
      <c r="D22" s="86"/>
      <c r="E22" s="86"/>
      <c r="F22" s="86"/>
      <c r="G22" s="86"/>
      <c r="H22" s="86"/>
    </row>
    <row r="23" spans="1:9" ht="21" customHeight="1">
      <c r="A23" s="55">
        <v>11</v>
      </c>
      <c r="B23" s="42" t="s">
        <v>16</v>
      </c>
      <c r="C23" s="17">
        <f>+SUM(C16:H16)</f>
        <v>4988.6794356018654</v>
      </c>
      <c r="D23" s="17"/>
      <c r="E23" s="17"/>
      <c r="F23" s="17"/>
      <c r="G23" s="17"/>
      <c r="H23" s="17"/>
    </row>
    <row r="24" spans="1:9" ht="21" customHeight="1">
      <c r="A24" s="55">
        <v>12</v>
      </c>
      <c r="B24" s="43" t="s">
        <v>17</v>
      </c>
      <c r="C24" s="37">
        <f>+IRR(C15:H15)</f>
        <v>0.11997589045978599</v>
      </c>
      <c r="D24" s="36"/>
      <c r="E24" s="36"/>
      <c r="F24" s="36"/>
      <c r="G24" s="36"/>
      <c r="H24" s="36"/>
    </row>
    <row r="25" spans="1:9" ht="21" customHeight="1">
      <c r="A25" s="55">
        <v>13</v>
      </c>
      <c r="B25" s="44" t="s">
        <v>77</v>
      </c>
      <c r="C25" s="95" t="s">
        <v>220</v>
      </c>
      <c r="D25" s="3"/>
      <c r="E25" s="3"/>
      <c r="F25" s="3"/>
      <c r="G25" s="3"/>
      <c r="H25" s="3"/>
    </row>
    <row r="28" spans="1:9" ht="30" customHeight="1">
      <c r="G28" s="240"/>
      <c r="I28" s="240">
        <f>C23*1000000</f>
        <v>4988679435.6018658</v>
      </c>
    </row>
  </sheetData>
  <mergeCells count="2">
    <mergeCell ref="A1:H1"/>
    <mergeCell ref="E3:H3"/>
  </mergeCells>
  <printOptions horizontalCentered="1"/>
  <pageMargins left="0.484251969" right="0.31496062992126" top="0.511811023622047" bottom="0.261811024" header="0.31496062992126" footer="0.31496062992126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F14" sqref="F14"/>
    </sheetView>
  </sheetViews>
  <sheetFormatPr defaultRowHeight="15.75"/>
  <cols>
    <col min="1" max="1" width="5.85546875" style="1" customWidth="1"/>
    <col min="2" max="2" width="8.7109375" style="1" customWidth="1"/>
    <col min="3" max="3" width="15.28515625" style="1" customWidth="1"/>
    <col min="4" max="4" width="14.85546875" style="1" customWidth="1"/>
    <col min="5" max="5" width="14.7109375" style="1" customWidth="1"/>
    <col min="6" max="6" width="20.85546875" style="1" customWidth="1"/>
    <col min="7" max="7" width="14.28515625" style="1" customWidth="1"/>
    <col min="8" max="8" width="16.42578125" style="1" customWidth="1"/>
    <col min="9" max="12" width="9" style="1"/>
    <col min="13" max="13" width="29.85546875" style="1" customWidth="1"/>
    <col min="14" max="251" width="9" style="1"/>
    <col min="252" max="252" width="5.7109375" style="1" customWidth="1"/>
    <col min="253" max="253" width="9" style="1"/>
    <col min="254" max="254" width="6.5703125" style="1" customWidth="1"/>
    <col min="255" max="255" width="9" style="1"/>
    <col min="256" max="256" width="8.140625" style="1" customWidth="1"/>
    <col min="257" max="259" width="9" style="1"/>
    <col min="260" max="260" width="27" style="1" customWidth="1"/>
    <col min="261" max="507" width="9" style="1"/>
    <col min="508" max="508" width="5.7109375" style="1" customWidth="1"/>
    <col min="509" max="509" width="9" style="1"/>
    <col min="510" max="510" width="6.5703125" style="1" customWidth="1"/>
    <col min="511" max="511" width="9" style="1"/>
    <col min="512" max="512" width="8.140625" style="1" customWidth="1"/>
    <col min="513" max="515" width="9" style="1"/>
    <col min="516" max="516" width="27" style="1" customWidth="1"/>
    <col min="517" max="763" width="9" style="1"/>
    <col min="764" max="764" width="5.7109375" style="1" customWidth="1"/>
    <col min="765" max="765" width="9" style="1"/>
    <col min="766" max="766" width="6.5703125" style="1" customWidth="1"/>
    <col min="767" max="767" width="9" style="1"/>
    <col min="768" max="768" width="8.140625" style="1" customWidth="1"/>
    <col min="769" max="771" width="9" style="1"/>
    <col min="772" max="772" width="27" style="1" customWidth="1"/>
    <col min="773" max="1019" width="9" style="1"/>
    <col min="1020" max="1020" width="5.7109375" style="1" customWidth="1"/>
    <col min="1021" max="1021" width="9" style="1"/>
    <col min="1022" max="1022" width="6.5703125" style="1" customWidth="1"/>
    <col min="1023" max="1023" width="9" style="1"/>
    <col min="1024" max="1024" width="8.140625" style="1" customWidth="1"/>
    <col min="1025" max="1027" width="9" style="1"/>
    <col min="1028" max="1028" width="27" style="1" customWidth="1"/>
    <col min="1029" max="1275" width="9" style="1"/>
    <col min="1276" max="1276" width="5.7109375" style="1" customWidth="1"/>
    <col min="1277" max="1277" width="9" style="1"/>
    <col min="1278" max="1278" width="6.5703125" style="1" customWidth="1"/>
    <col min="1279" max="1279" width="9" style="1"/>
    <col min="1280" max="1280" width="8.140625" style="1" customWidth="1"/>
    <col min="1281" max="1283" width="9" style="1"/>
    <col min="1284" max="1284" width="27" style="1" customWidth="1"/>
    <col min="1285" max="1531" width="9" style="1"/>
    <col min="1532" max="1532" width="5.7109375" style="1" customWidth="1"/>
    <col min="1533" max="1533" width="9" style="1"/>
    <col min="1534" max="1534" width="6.5703125" style="1" customWidth="1"/>
    <col min="1535" max="1535" width="9" style="1"/>
    <col min="1536" max="1536" width="8.140625" style="1" customWidth="1"/>
    <col min="1537" max="1539" width="9" style="1"/>
    <col min="1540" max="1540" width="27" style="1" customWidth="1"/>
    <col min="1541" max="1787" width="9" style="1"/>
    <col min="1788" max="1788" width="5.7109375" style="1" customWidth="1"/>
    <col min="1789" max="1789" width="9" style="1"/>
    <col min="1790" max="1790" width="6.5703125" style="1" customWidth="1"/>
    <col min="1791" max="1791" width="9" style="1"/>
    <col min="1792" max="1792" width="8.140625" style="1" customWidth="1"/>
    <col min="1793" max="1795" width="9" style="1"/>
    <col min="1796" max="1796" width="27" style="1" customWidth="1"/>
    <col min="1797" max="2043" width="9" style="1"/>
    <col min="2044" max="2044" width="5.7109375" style="1" customWidth="1"/>
    <col min="2045" max="2045" width="9" style="1"/>
    <col min="2046" max="2046" width="6.5703125" style="1" customWidth="1"/>
    <col min="2047" max="2047" width="9" style="1"/>
    <col min="2048" max="2048" width="8.140625" style="1" customWidth="1"/>
    <col min="2049" max="2051" width="9" style="1"/>
    <col min="2052" max="2052" width="27" style="1" customWidth="1"/>
    <col min="2053" max="2299" width="9" style="1"/>
    <col min="2300" max="2300" width="5.7109375" style="1" customWidth="1"/>
    <col min="2301" max="2301" width="9" style="1"/>
    <col min="2302" max="2302" width="6.5703125" style="1" customWidth="1"/>
    <col min="2303" max="2303" width="9" style="1"/>
    <col min="2304" max="2304" width="8.140625" style="1" customWidth="1"/>
    <col min="2305" max="2307" width="9" style="1"/>
    <col min="2308" max="2308" width="27" style="1" customWidth="1"/>
    <col min="2309" max="2555" width="9" style="1"/>
    <col min="2556" max="2556" width="5.7109375" style="1" customWidth="1"/>
    <col min="2557" max="2557" width="9" style="1"/>
    <col min="2558" max="2558" width="6.5703125" style="1" customWidth="1"/>
    <col min="2559" max="2559" width="9" style="1"/>
    <col min="2560" max="2560" width="8.140625" style="1" customWidth="1"/>
    <col min="2561" max="2563" width="9" style="1"/>
    <col min="2564" max="2564" width="27" style="1" customWidth="1"/>
    <col min="2565" max="2811" width="9" style="1"/>
    <col min="2812" max="2812" width="5.7109375" style="1" customWidth="1"/>
    <col min="2813" max="2813" width="9" style="1"/>
    <col min="2814" max="2814" width="6.5703125" style="1" customWidth="1"/>
    <col min="2815" max="2815" width="9" style="1"/>
    <col min="2816" max="2816" width="8.140625" style="1" customWidth="1"/>
    <col min="2817" max="2819" width="9" style="1"/>
    <col min="2820" max="2820" width="27" style="1" customWidth="1"/>
    <col min="2821" max="3067" width="9" style="1"/>
    <col min="3068" max="3068" width="5.7109375" style="1" customWidth="1"/>
    <col min="3069" max="3069" width="9" style="1"/>
    <col min="3070" max="3070" width="6.5703125" style="1" customWidth="1"/>
    <col min="3071" max="3071" width="9" style="1"/>
    <col min="3072" max="3072" width="8.140625" style="1" customWidth="1"/>
    <col min="3073" max="3075" width="9" style="1"/>
    <col min="3076" max="3076" width="27" style="1" customWidth="1"/>
    <col min="3077" max="3323" width="9" style="1"/>
    <col min="3324" max="3324" width="5.7109375" style="1" customWidth="1"/>
    <col min="3325" max="3325" width="9" style="1"/>
    <col min="3326" max="3326" width="6.5703125" style="1" customWidth="1"/>
    <col min="3327" max="3327" width="9" style="1"/>
    <col min="3328" max="3328" width="8.140625" style="1" customWidth="1"/>
    <col min="3329" max="3331" width="9" style="1"/>
    <col min="3332" max="3332" width="27" style="1" customWidth="1"/>
    <col min="3333" max="3579" width="9" style="1"/>
    <col min="3580" max="3580" width="5.7109375" style="1" customWidth="1"/>
    <col min="3581" max="3581" width="9" style="1"/>
    <col min="3582" max="3582" width="6.5703125" style="1" customWidth="1"/>
    <col min="3583" max="3583" width="9" style="1"/>
    <col min="3584" max="3584" width="8.140625" style="1" customWidth="1"/>
    <col min="3585" max="3587" width="9" style="1"/>
    <col min="3588" max="3588" width="27" style="1" customWidth="1"/>
    <col min="3589" max="3835" width="9" style="1"/>
    <col min="3836" max="3836" width="5.7109375" style="1" customWidth="1"/>
    <col min="3837" max="3837" width="9" style="1"/>
    <col min="3838" max="3838" width="6.5703125" style="1" customWidth="1"/>
    <col min="3839" max="3839" width="9" style="1"/>
    <col min="3840" max="3840" width="8.140625" style="1" customWidth="1"/>
    <col min="3841" max="3843" width="9" style="1"/>
    <col min="3844" max="3844" width="27" style="1" customWidth="1"/>
    <col min="3845" max="4091" width="9" style="1"/>
    <col min="4092" max="4092" width="5.7109375" style="1" customWidth="1"/>
    <col min="4093" max="4093" width="9" style="1"/>
    <col min="4094" max="4094" width="6.5703125" style="1" customWidth="1"/>
    <col min="4095" max="4095" width="9" style="1"/>
    <col min="4096" max="4096" width="8.140625" style="1" customWidth="1"/>
    <col min="4097" max="4099" width="9" style="1"/>
    <col min="4100" max="4100" width="27" style="1" customWidth="1"/>
    <col min="4101" max="4347" width="9" style="1"/>
    <col min="4348" max="4348" width="5.7109375" style="1" customWidth="1"/>
    <col min="4349" max="4349" width="9" style="1"/>
    <col min="4350" max="4350" width="6.5703125" style="1" customWidth="1"/>
    <col min="4351" max="4351" width="9" style="1"/>
    <col min="4352" max="4352" width="8.140625" style="1" customWidth="1"/>
    <col min="4353" max="4355" width="9" style="1"/>
    <col min="4356" max="4356" width="27" style="1" customWidth="1"/>
    <col min="4357" max="4603" width="9" style="1"/>
    <col min="4604" max="4604" width="5.7109375" style="1" customWidth="1"/>
    <col min="4605" max="4605" width="9" style="1"/>
    <col min="4606" max="4606" width="6.5703125" style="1" customWidth="1"/>
    <col min="4607" max="4607" width="9" style="1"/>
    <col min="4608" max="4608" width="8.140625" style="1" customWidth="1"/>
    <col min="4609" max="4611" width="9" style="1"/>
    <col min="4612" max="4612" width="27" style="1" customWidth="1"/>
    <col min="4613" max="4859" width="9" style="1"/>
    <col min="4860" max="4860" width="5.7109375" style="1" customWidth="1"/>
    <col min="4861" max="4861" width="9" style="1"/>
    <col min="4862" max="4862" width="6.5703125" style="1" customWidth="1"/>
    <col min="4863" max="4863" width="9" style="1"/>
    <col min="4864" max="4864" width="8.140625" style="1" customWidth="1"/>
    <col min="4865" max="4867" width="9" style="1"/>
    <col min="4868" max="4868" width="27" style="1" customWidth="1"/>
    <col min="4869" max="5115" width="9" style="1"/>
    <col min="5116" max="5116" width="5.7109375" style="1" customWidth="1"/>
    <col min="5117" max="5117" width="9" style="1"/>
    <col min="5118" max="5118" width="6.5703125" style="1" customWidth="1"/>
    <col min="5119" max="5119" width="9" style="1"/>
    <col min="5120" max="5120" width="8.140625" style="1" customWidth="1"/>
    <col min="5121" max="5123" width="9" style="1"/>
    <col min="5124" max="5124" width="27" style="1" customWidth="1"/>
    <col min="5125" max="5371" width="9" style="1"/>
    <col min="5372" max="5372" width="5.7109375" style="1" customWidth="1"/>
    <col min="5373" max="5373" width="9" style="1"/>
    <col min="5374" max="5374" width="6.5703125" style="1" customWidth="1"/>
    <col min="5375" max="5375" width="9" style="1"/>
    <col min="5376" max="5376" width="8.140625" style="1" customWidth="1"/>
    <col min="5377" max="5379" width="9" style="1"/>
    <col min="5380" max="5380" width="27" style="1" customWidth="1"/>
    <col min="5381" max="5627" width="9" style="1"/>
    <col min="5628" max="5628" width="5.7109375" style="1" customWidth="1"/>
    <col min="5629" max="5629" width="9" style="1"/>
    <col min="5630" max="5630" width="6.5703125" style="1" customWidth="1"/>
    <col min="5631" max="5631" width="9" style="1"/>
    <col min="5632" max="5632" width="8.140625" style="1" customWidth="1"/>
    <col min="5633" max="5635" width="9" style="1"/>
    <col min="5636" max="5636" width="27" style="1" customWidth="1"/>
    <col min="5637" max="5883" width="9" style="1"/>
    <col min="5884" max="5884" width="5.7109375" style="1" customWidth="1"/>
    <col min="5885" max="5885" width="9" style="1"/>
    <col min="5886" max="5886" width="6.5703125" style="1" customWidth="1"/>
    <col min="5887" max="5887" width="9" style="1"/>
    <col min="5888" max="5888" width="8.140625" style="1" customWidth="1"/>
    <col min="5889" max="5891" width="9" style="1"/>
    <col min="5892" max="5892" width="27" style="1" customWidth="1"/>
    <col min="5893" max="6139" width="9" style="1"/>
    <col min="6140" max="6140" width="5.7109375" style="1" customWidth="1"/>
    <col min="6141" max="6141" width="9" style="1"/>
    <col min="6142" max="6142" width="6.5703125" style="1" customWidth="1"/>
    <col min="6143" max="6143" width="9" style="1"/>
    <col min="6144" max="6144" width="8.140625" style="1" customWidth="1"/>
    <col min="6145" max="6147" width="9" style="1"/>
    <col min="6148" max="6148" width="27" style="1" customWidth="1"/>
    <col min="6149" max="6395" width="9" style="1"/>
    <col min="6396" max="6396" width="5.7109375" style="1" customWidth="1"/>
    <col min="6397" max="6397" width="9" style="1"/>
    <col min="6398" max="6398" width="6.5703125" style="1" customWidth="1"/>
    <col min="6399" max="6399" width="9" style="1"/>
    <col min="6400" max="6400" width="8.140625" style="1" customWidth="1"/>
    <col min="6401" max="6403" width="9" style="1"/>
    <col min="6404" max="6404" width="27" style="1" customWidth="1"/>
    <col min="6405" max="6651" width="9" style="1"/>
    <col min="6652" max="6652" width="5.7109375" style="1" customWidth="1"/>
    <col min="6653" max="6653" width="9" style="1"/>
    <col min="6654" max="6654" width="6.5703125" style="1" customWidth="1"/>
    <col min="6655" max="6655" width="9" style="1"/>
    <col min="6656" max="6656" width="8.140625" style="1" customWidth="1"/>
    <col min="6657" max="6659" width="9" style="1"/>
    <col min="6660" max="6660" width="27" style="1" customWidth="1"/>
    <col min="6661" max="6907" width="9" style="1"/>
    <col min="6908" max="6908" width="5.7109375" style="1" customWidth="1"/>
    <col min="6909" max="6909" width="9" style="1"/>
    <col min="6910" max="6910" width="6.5703125" style="1" customWidth="1"/>
    <col min="6911" max="6911" width="9" style="1"/>
    <col min="6912" max="6912" width="8.140625" style="1" customWidth="1"/>
    <col min="6913" max="6915" width="9" style="1"/>
    <col min="6916" max="6916" width="27" style="1" customWidth="1"/>
    <col min="6917" max="7163" width="9" style="1"/>
    <col min="7164" max="7164" width="5.7109375" style="1" customWidth="1"/>
    <col min="7165" max="7165" width="9" style="1"/>
    <col min="7166" max="7166" width="6.5703125" style="1" customWidth="1"/>
    <col min="7167" max="7167" width="9" style="1"/>
    <col min="7168" max="7168" width="8.140625" style="1" customWidth="1"/>
    <col min="7169" max="7171" width="9" style="1"/>
    <col min="7172" max="7172" width="27" style="1" customWidth="1"/>
    <col min="7173" max="7419" width="9" style="1"/>
    <col min="7420" max="7420" width="5.7109375" style="1" customWidth="1"/>
    <col min="7421" max="7421" width="9" style="1"/>
    <col min="7422" max="7422" width="6.5703125" style="1" customWidth="1"/>
    <col min="7423" max="7423" width="9" style="1"/>
    <col min="7424" max="7424" width="8.140625" style="1" customWidth="1"/>
    <col min="7425" max="7427" width="9" style="1"/>
    <col min="7428" max="7428" width="27" style="1" customWidth="1"/>
    <col min="7429" max="7675" width="9" style="1"/>
    <col min="7676" max="7676" width="5.7109375" style="1" customWidth="1"/>
    <col min="7677" max="7677" width="9" style="1"/>
    <col min="7678" max="7678" width="6.5703125" style="1" customWidth="1"/>
    <col min="7679" max="7679" width="9" style="1"/>
    <col min="7680" max="7680" width="8.140625" style="1" customWidth="1"/>
    <col min="7681" max="7683" width="9" style="1"/>
    <col min="7684" max="7684" width="27" style="1" customWidth="1"/>
    <col min="7685" max="7931" width="9" style="1"/>
    <col min="7932" max="7932" width="5.7109375" style="1" customWidth="1"/>
    <col min="7933" max="7933" width="9" style="1"/>
    <col min="7934" max="7934" width="6.5703125" style="1" customWidth="1"/>
    <col min="7935" max="7935" width="9" style="1"/>
    <col min="7936" max="7936" width="8.140625" style="1" customWidth="1"/>
    <col min="7937" max="7939" width="9" style="1"/>
    <col min="7940" max="7940" width="27" style="1" customWidth="1"/>
    <col min="7941" max="8187" width="9" style="1"/>
    <col min="8188" max="8188" width="5.7109375" style="1" customWidth="1"/>
    <col min="8189" max="8189" width="9" style="1"/>
    <col min="8190" max="8190" width="6.5703125" style="1" customWidth="1"/>
    <col min="8191" max="8191" width="9" style="1"/>
    <col min="8192" max="8192" width="8.140625" style="1" customWidth="1"/>
    <col min="8193" max="8195" width="9" style="1"/>
    <col min="8196" max="8196" width="27" style="1" customWidth="1"/>
    <col min="8197" max="8443" width="9" style="1"/>
    <col min="8444" max="8444" width="5.7109375" style="1" customWidth="1"/>
    <col min="8445" max="8445" width="9" style="1"/>
    <col min="8446" max="8446" width="6.5703125" style="1" customWidth="1"/>
    <col min="8447" max="8447" width="9" style="1"/>
    <col min="8448" max="8448" width="8.140625" style="1" customWidth="1"/>
    <col min="8449" max="8451" width="9" style="1"/>
    <col min="8452" max="8452" width="27" style="1" customWidth="1"/>
    <col min="8453" max="8699" width="9" style="1"/>
    <col min="8700" max="8700" width="5.7109375" style="1" customWidth="1"/>
    <col min="8701" max="8701" width="9" style="1"/>
    <col min="8702" max="8702" width="6.5703125" style="1" customWidth="1"/>
    <col min="8703" max="8703" width="9" style="1"/>
    <col min="8704" max="8704" width="8.140625" style="1" customWidth="1"/>
    <col min="8705" max="8707" width="9" style="1"/>
    <col min="8708" max="8708" width="27" style="1" customWidth="1"/>
    <col min="8709" max="8955" width="9" style="1"/>
    <col min="8956" max="8956" width="5.7109375" style="1" customWidth="1"/>
    <col min="8957" max="8957" width="9" style="1"/>
    <col min="8958" max="8958" width="6.5703125" style="1" customWidth="1"/>
    <col min="8959" max="8959" width="9" style="1"/>
    <col min="8960" max="8960" width="8.140625" style="1" customWidth="1"/>
    <col min="8961" max="8963" width="9" style="1"/>
    <col min="8964" max="8964" width="27" style="1" customWidth="1"/>
    <col min="8965" max="9211" width="9" style="1"/>
    <col min="9212" max="9212" width="5.7109375" style="1" customWidth="1"/>
    <col min="9213" max="9213" width="9" style="1"/>
    <col min="9214" max="9214" width="6.5703125" style="1" customWidth="1"/>
    <col min="9215" max="9215" width="9" style="1"/>
    <col min="9216" max="9216" width="8.140625" style="1" customWidth="1"/>
    <col min="9217" max="9219" width="9" style="1"/>
    <col min="9220" max="9220" width="27" style="1" customWidth="1"/>
    <col min="9221" max="9467" width="9" style="1"/>
    <col min="9468" max="9468" width="5.7109375" style="1" customWidth="1"/>
    <col min="9469" max="9469" width="9" style="1"/>
    <col min="9470" max="9470" width="6.5703125" style="1" customWidth="1"/>
    <col min="9471" max="9471" width="9" style="1"/>
    <col min="9472" max="9472" width="8.140625" style="1" customWidth="1"/>
    <col min="9473" max="9475" width="9" style="1"/>
    <col min="9476" max="9476" width="27" style="1" customWidth="1"/>
    <col min="9477" max="9723" width="9" style="1"/>
    <col min="9724" max="9724" width="5.7109375" style="1" customWidth="1"/>
    <col min="9725" max="9725" width="9" style="1"/>
    <col min="9726" max="9726" width="6.5703125" style="1" customWidth="1"/>
    <col min="9727" max="9727" width="9" style="1"/>
    <col min="9728" max="9728" width="8.140625" style="1" customWidth="1"/>
    <col min="9729" max="9731" width="9" style="1"/>
    <col min="9732" max="9732" width="27" style="1" customWidth="1"/>
    <col min="9733" max="9979" width="9" style="1"/>
    <col min="9980" max="9980" width="5.7109375" style="1" customWidth="1"/>
    <col min="9981" max="9981" width="9" style="1"/>
    <col min="9982" max="9982" width="6.5703125" style="1" customWidth="1"/>
    <col min="9983" max="9983" width="9" style="1"/>
    <col min="9984" max="9984" width="8.140625" style="1" customWidth="1"/>
    <col min="9985" max="9987" width="9" style="1"/>
    <col min="9988" max="9988" width="27" style="1" customWidth="1"/>
    <col min="9989" max="10235" width="9" style="1"/>
    <col min="10236" max="10236" width="5.7109375" style="1" customWidth="1"/>
    <col min="10237" max="10237" width="9" style="1"/>
    <col min="10238" max="10238" width="6.5703125" style="1" customWidth="1"/>
    <col min="10239" max="10239" width="9" style="1"/>
    <col min="10240" max="10240" width="8.140625" style="1" customWidth="1"/>
    <col min="10241" max="10243" width="9" style="1"/>
    <col min="10244" max="10244" width="27" style="1" customWidth="1"/>
    <col min="10245" max="10491" width="9" style="1"/>
    <col min="10492" max="10492" width="5.7109375" style="1" customWidth="1"/>
    <col min="10493" max="10493" width="9" style="1"/>
    <col min="10494" max="10494" width="6.5703125" style="1" customWidth="1"/>
    <col min="10495" max="10495" width="9" style="1"/>
    <col min="10496" max="10496" width="8.140625" style="1" customWidth="1"/>
    <col min="10497" max="10499" width="9" style="1"/>
    <col min="10500" max="10500" width="27" style="1" customWidth="1"/>
    <col min="10501" max="10747" width="9" style="1"/>
    <col min="10748" max="10748" width="5.7109375" style="1" customWidth="1"/>
    <col min="10749" max="10749" width="9" style="1"/>
    <col min="10750" max="10750" width="6.5703125" style="1" customWidth="1"/>
    <col min="10751" max="10751" width="9" style="1"/>
    <col min="10752" max="10752" width="8.140625" style="1" customWidth="1"/>
    <col min="10753" max="10755" width="9" style="1"/>
    <col min="10756" max="10756" width="27" style="1" customWidth="1"/>
    <col min="10757" max="11003" width="9" style="1"/>
    <col min="11004" max="11004" width="5.7109375" style="1" customWidth="1"/>
    <col min="11005" max="11005" width="9" style="1"/>
    <col min="11006" max="11006" width="6.5703125" style="1" customWidth="1"/>
    <col min="11007" max="11007" width="9" style="1"/>
    <col min="11008" max="11008" width="8.140625" style="1" customWidth="1"/>
    <col min="11009" max="11011" width="9" style="1"/>
    <col min="11012" max="11012" width="27" style="1" customWidth="1"/>
    <col min="11013" max="11259" width="9" style="1"/>
    <col min="11260" max="11260" width="5.7109375" style="1" customWidth="1"/>
    <col min="11261" max="11261" width="9" style="1"/>
    <col min="11262" max="11262" width="6.5703125" style="1" customWidth="1"/>
    <col min="11263" max="11263" width="9" style="1"/>
    <col min="11264" max="11264" width="8.140625" style="1" customWidth="1"/>
    <col min="11265" max="11267" width="9" style="1"/>
    <col min="11268" max="11268" width="27" style="1" customWidth="1"/>
    <col min="11269" max="11515" width="9" style="1"/>
    <col min="11516" max="11516" width="5.7109375" style="1" customWidth="1"/>
    <col min="11517" max="11517" width="9" style="1"/>
    <col min="11518" max="11518" width="6.5703125" style="1" customWidth="1"/>
    <col min="11519" max="11519" width="9" style="1"/>
    <col min="11520" max="11520" width="8.140625" style="1" customWidth="1"/>
    <col min="11521" max="11523" width="9" style="1"/>
    <col min="11524" max="11524" width="27" style="1" customWidth="1"/>
    <col min="11525" max="11771" width="9" style="1"/>
    <col min="11772" max="11772" width="5.7109375" style="1" customWidth="1"/>
    <col min="11773" max="11773" width="9" style="1"/>
    <col min="11774" max="11774" width="6.5703125" style="1" customWidth="1"/>
    <col min="11775" max="11775" width="9" style="1"/>
    <col min="11776" max="11776" width="8.140625" style="1" customWidth="1"/>
    <col min="11777" max="11779" width="9" style="1"/>
    <col min="11780" max="11780" width="27" style="1" customWidth="1"/>
    <col min="11781" max="12027" width="9" style="1"/>
    <col min="12028" max="12028" width="5.7109375" style="1" customWidth="1"/>
    <col min="12029" max="12029" width="9" style="1"/>
    <col min="12030" max="12030" width="6.5703125" style="1" customWidth="1"/>
    <col min="12031" max="12031" width="9" style="1"/>
    <col min="12032" max="12032" width="8.140625" style="1" customWidth="1"/>
    <col min="12033" max="12035" width="9" style="1"/>
    <col min="12036" max="12036" width="27" style="1" customWidth="1"/>
    <col min="12037" max="12283" width="9" style="1"/>
    <col min="12284" max="12284" width="5.7109375" style="1" customWidth="1"/>
    <col min="12285" max="12285" width="9" style="1"/>
    <col min="12286" max="12286" width="6.5703125" style="1" customWidth="1"/>
    <col min="12287" max="12287" width="9" style="1"/>
    <col min="12288" max="12288" width="8.140625" style="1" customWidth="1"/>
    <col min="12289" max="12291" width="9" style="1"/>
    <col min="12292" max="12292" width="27" style="1" customWidth="1"/>
    <col min="12293" max="12539" width="9" style="1"/>
    <col min="12540" max="12540" width="5.7109375" style="1" customWidth="1"/>
    <col min="12541" max="12541" width="9" style="1"/>
    <col min="12542" max="12542" width="6.5703125" style="1" customWidth="1"/>
    <col min="12543" max="12543" width="9" style="1"/>
    <col min="12544" max="12544" width="8.140625" style="1" customWidth="1"/>
    <col min="12545" max="12547" width="9" style="1"/>
    <col min="12548" max="12548" width="27" style="1" customWidth="1"/>
    <col min="12549" max="12795" width="9" style="1"/>
    <col min="12796" max="12796" width="5.7109375" style="1" customWidth="1"/>
    <col min="12797" max="12797" width="9" style="1"/>
    <col min="12798" max="12798" width="6.5703125" style="1" customWidth="1"/>
    <col min="12799" max="12799" width="9" style="1"/>
    <col min="12800" max="12800" width="8.140625" style="1" customWidth="1"/>
    <col min="12801" max="12803" width="9" style="1"/>
    <col min="12804" max="12804" width="27" style="1" customWidth="1"/>
    <col min="12805" max="13051" width="9" style="1"/>
    <col min="13052" max="13052" width="5.7109375" style="1" customWidth="1"/>
    <col min="13053" max="13053" width="9" style="1"/>
    <col min="13054" max="13054" width="6.5703125" style="1" customWidth="1"/>
    <col min="13055" max="13055" width="9" style="1"/>
    <col min="13056" max="13056" width="8.140625" style="1" customWidth="1"/>
    <col min="13057" max="13059" width="9" style="1"/>
    <col min="13060" max="13060" width="27" style="1" customWidth="1"/>
    <col min="13061" max="13307" width="9" style="1"/>
    <col min="13308" max="13308" width="5.7109375" style="1" customWidth="1"/>
    <col min="13309" max="13309" width="9" style="1"/>
    <col min="13310" max="13310" width="6.5703125" style="1" customWidth="1"/>
    <col min="13311" max="13311" width="9" style="1"/>
    <col min="13312" max="13312" width="8.140625" style="1" customWidth="1"/>
    <col min="13313" max="13315" width="9" style="1"/>
    <col min="13316" max="13316" width="27" style="1" customWidth="1"/>
    <col min="13317" max="13563" width="9" style="1"/>
    <col min="13564" max="13564" width="5.7109375" style="1" customWidth="1"/>
    <col min="13565" max="13565" width="9" style="1"/>
    <col min="13566" max="13566" width="6.5703125" style="1" customWidth="1"/>
    <col min="13567" max="13567" width="9" style="1"/>
    <col min="13568" max="13568" width="8.140625" style="1" customWidth="1"/>
    <col min="13569" max="13571" width="9" style="1"/>
    <col min="13572" max="13572" width="27" style="1" customWidth="1"/>
    <col min="13573" max="13819" width="9" style="1"/>
    <col min="13820" max="13820" width="5.7109375" style="1" customWidth="1"/>
    <col min="13821" max="13821" width="9" style="1"/>
    <col min="13822" max="13822" width="6.5703125" style="1" customWidth="1"/>
    <col min="13823" max="13823" width="9" style="1"/>
    <col min="13824" max="13824" width="8.140625" style="1" customWidth="1"/>
    <col min="13825" max="13827" width="9" style="1"/>
    <col min="13828" max="13828" width="27" style="1" customWidth="1"/>
    <col min="13829" max="14075" width="9" style="1"/>
    <col min="14076" max="14076" width="5.7109375" style="1" customWidth="1"/>
    <col min="14077" max="14077" width="9" style="1"/>
    <col min="14078" max="14078" width="6.5703125" style="1" customWidth="1"/>
    <col min="14079" max="14079" width="9" style="1"/>
    <col min="14080" max="14080" width="8.140625" style="1" customWidth="1"/>
    <col min="14081" max="14083" width="9" style="1"/>
    <col min="14084" max="14084" width="27" style="1" customWidth="1"/>
    <col min="14085" max="14331" width="9" style="1"/>
    <col min="14332" max="14332" width="5.7109375" style="1" customWidth="1"/>
    <col min="14333" max="14333" width="9" style="1"/>
    <col min="14334" max="14334" width="6.5703125" style="1" customWidth="1"/>
    <col min="14335" max="14335" width="9" style="1"/>
    <col min="14336" max="14336" width="8.140625" style="1" customWidth="1"/>
    <col min="14337" max="14339" width="9" style="1"/>
    <col min="14340" max="14340" width="27" style="1" customWidth="1"/>
    <col min="14341" max="14587" width="9" style="1"/>
    <col min="14588" max="14588" width="5.7109375" style="1" customWidth="1"/>
    <col min="14589" max="14589" width="9" style="1"/>
    <col min="14590" max="14590" width="6.5703125" style="1" customWidth="1"/>
    <col min="14591" max="14591" width="9" style="1"/>
    <col min="14592" max="14592" width="8.140625" style="1" customWidth="1"/>
    <col min="14593" max="14595" width="9" style="1"/>
    <col min="14596" max="14596" width="27" style="1" customWidth="1"/>
    <col min="14597" max="14843" width="9" style="1"/>
    <col min="14844" max="14844" width="5.7109375" style="1" customWidth="1"/>
    <col min="14845" max="14845" width="9" style="1"/>
    <col min="14846" max="14846" width="6.5703125" style="1" customWidth="1"/>
    <col min="14847" max="14847" width="9" style="1"/>
    <col min="14848" max="14848" width="8.140625" style="1" customWidth="1"/>
    <col min="14849" max="14851" width="9" style="1"/>
    <col min="14852" max="14852" width="27" style="1" customWidth="1"/>
    <col min="14853" max="15099" width="9" style="1"/>
    <col min="15100" max="15100" width="5.7109375" style="1" customWidth="1"/>
    <col min="15101" max="15101" width="9" style="1"/>
    <col min="15102" max="15102" width="6.5703125" style="1" customWidth="1"/>
    <col min="15103" max="15103" width="9" style="1"/>
    <col min="15104" max="15104" width="8.140625" style="1" customWidth="1"/>
    <col min="15105" max="15107" width="9" style="1"/>
    <col min="15108" max="15108" width="27" style="1" customWidth="1"/>
    <col min="15109" max="15355" width="9" style="1"/>
    <col min="15356" max="15356" width="5.7109375" style="1" customWidth="1"/>
    <col min="15357" max="15357" width="9" style="1"/>
    <col min="15358" max="15358" width="6.5703125" style="1" customWidth="1"/>
    <col min="15359" max="15359" width="9" style="1"/>
    <col min="15360" max="15360" width="8.140625" style="1" customWidth="1"/>
    <col min="15361" max="15363" width="9" style="1"/>
    <col min="15364" max="15364" width="27" style="1" customWidth="1"/>
    <col min="15365" max="15611" width="9" style="1"/>
    <col min="15612" max="15612" width="5.7109375" style="1" customWidth="1"/>
    <col min="15613" max="15613" width="9" style="1"/>
    <col min="15614" max="15614" width="6.5703125" style="1" customWidth="1"/>
    <col min="15615" max="15615" width="9" style="1"/>
    <col min="15616" max="15616" width="8.140625" style="1" customWidth="1"/>
    <col min="15617" max="15619" width="9" style="1"/>
    <col min="15620" max="15620" width="27" style="1" customWidth="1"/>
    <col min="15621" max="15867" width="9" style="1"/>
    <col min="15868" max="15868" width="5.7109375" style="1" customWidth="1"/>
    <col min="15869" max="15869" width="9" style="1"/>
    <col min="15870" max="15870" width="6.5703125" style="1" customWidth="1"/>
    <col min="15871" max="15871" width="9" style="1"/>
    <col min="15872" max="15872" width="8.140625" style="1" customWidth="1"/>
    <col min="15873" max="15875" width="9" style="1"/>
    <col min="15876" max="15876" width="27" style="1" customWidth="1"/>
    <col min="15877" max="16123" width="9" style="1"/>
    <col min="16124" max="16124" width="5.7109375" style="1" customWidth="1"/>
    <col min="16125" max="16125" width="9" style="1"/>
    <col min="16126" max="16126" width="6.5703125" style="1" customWidth="1"/>
    <col min="16127" max="16127" width="9" style="1"/>
    <col min="16128" max="16128" width="8.140625" style="1" customWidth="1"/>
    <col min="16129" max="16131" width="9" style="1"/>
    <col min="16132" max="16132" width="27" style="1" customWidth="1"/>
    <col min="16133" max="16384" width="9" style="1"/>
  </cols>
  <sheetData>
    <row r="1" spans="1:14" s="65" customFormat="1">
      <c r="A1" s="271" t="s">
        <v>73</v>
      </c>
      <c r="B1" s="271"/>
      <c r="C1" s="271"/>
      <c r="D1" s="271"/>
      <c r="E1" s="271"/>
      <c r="F1" s="271"/>
      <c r="G1" s="271"/>
      <c r="H1" s="271"/>
    </row>
    <row r="2" spans="1:14" s="65" customFormat="1">
      <c r="C2" s="56"/>
      <c r="D2" s="56"/>
      <c r="E2" s="56"/>
      <c r="F2" s="56"/>
      <c r="G2" s="56"/>
    </row>
    <row r="3" spans="1:14" s="66" customFormat="1">
      <c r="B3" s="270" t="s">
        <v>104</v>
      </c>
      <c r="C3" s="270"/>
      <c r="D3" s="270"/>
      <c r="E3" s="67">
        <f>'kinh doanh'!D4*1000</f>
        <v>85021.904925168303</v>
      </c>
      <c r="F3" s="272"/>
      <c r="G3" s="272"/>
      <c r="H3" s="67"/>
    </row>
    <row r="4" spans="1:14" s="66" customFormat="1">
      <c r="B4" s="58" t="s">
        <v>62</v>
      </c>
      <c r="C4" s="58"/>
      <c r="D4" s="58"/>
      <c r="E4" s="68">
        <v>0.8</v>
      </c>
      <c r="F4" s="57"/>
      <c r="G4" s="68"/>
      <c r="H4" s="69"/>
    </row>
    <row r="5" spans="1:14" s="66" customFormat="1">
      <c r="B5" s="270" t="s">
        <v>72</v>
      </c>
      <c r="C5" s="270"/>
      <c r="D5" s="270"/>
      <c r="E5" s="67">
        <f>+E3*E4</f>
        <v>68017.523940134648</v>
      </c>
      <c r="F5" s="57"/>
      <c r="G5" s="69"/>
      <c r="H5" s="69"/>
    </row>
    <row r="6" spans="1:14" s="66" customFormat="1">
      <c r="B6" s="270" t="s">
        <v>63</v>
      </c>
      <c r="C6" s="270"/>
      <c r="D6" s="270"/>
      <c r="E6" s="70">
        <v>8.5000000000000006E-2</v>
      </c>
      <c r="F6" s="57"/>
      <c r="G6" s="69"/>
      <c r="H6" s="69"/>
    </row>
    <row r="7" spans="1:14" s="66" customFormat="1">
      <c r="B7" s="270" t="s">
        <v>64</v>
      </c>
      <c r="C7" s="270"/>
      <c r="D7" s="270"/>
      <c r="E7" s="67">
        <v>5</v>
      </c>
      <c r="F7" s="57"/>
      <c r="G7" s="69"/>
      <c r="H7" s="69"/>
    </row>
    <row r="8" spans="1:14" s="65" customFormat="1">
      <c r="B8" s="59"/>
      <c r="C8" s="59"/>
      <c r="D8" s="59"/>
      <c r="E8" s="66"/>
      <c r="F8" s="60"/>
      <c r="G8" s="269" t="s">
        <v>139</v>
      </c>
      <c r="H8" s="269"/>
    </row>
    <row r="9" spans="1:14" ht="63">
      <c r="A9" s="71" t="s">
        <v>273</v>
      </c>
      <c r="B9" s="71" t="s">
        <v>74</v>
      </c>
      <c r="C9" s="71" t="s">
        <v>65</v>
      </c>
      <c r="D9" s="72" t="s">
        <v>66</v>
      </c>
      <c r="E9" s="72" t="s">
        <v>67</v>
      </c>
      <c r="F9" s="71" t="s">
        <v>68</v>
      </c>
      <c r="G9" s="72" t="s">
        <v>69</v>
      </c>
      <c r="H9" s="72" t="s">
        <v>70</v>
      </c>
    </row>
    <row r="10" spans="1:14" s="74" customFormat="1">
      <c r="A10" s="247">
        <v>1</v>
      </c>
      <c r="B10" s="248">
        <v>0</v>
      </c>
      <c r="C10" s="249">
        <v>0</v>
      </c>
      <c r="D10" s="249">
        <f>E5</f>
        <v>68017.523940134648</v>
      </c>
      <c r="E10" s="250">
        <v>0</v>
      </c>
      <c r="F10" s="250">
        <f>C10*$E$6</f>
        <v>0</v>
      </c>
      <c r="G10" s="249">
        <v>0</v>
      </c>
      <c r="H10" s="249">
        <f t="shared" ref="H10:H15" si="0">C10+D10-SUM(G10:G10)+F10</f>
        <v>68017.523940134648</v>
      </c>
    </row>
    <row r="11" spans="1:14" s="78" customFormat="1">
      <c r="A11" s="247">
        <v>2</v>
      </c>
      <c r="B11" s="248">
        <v>1</v>
      </c>
      <c r="C11" s="249">
        <f>H10</f>
        <v>68017.523940134648</v>
      </c>
      <c r="D11" s="249"/>
      <c r="E11" s="250">
        <f>C11*$E$6</f>
        <v>5781.4895349114458</v>
      </c>
      <c r="F11" s="250"/>
      <c r="G11" s="249">
        <f>SUM($D$10:$D$10)/$E$7</f>
        <v>13603.50478802693</v>
      </c>
      <c r="H11" s="249">
        <f>C11+D11-SUM(G11:G11)+F11</f>
        <v>54414.019152107721</v>
      </c>
      <c r="I11" s="77"/>
      <c r="J11" s="77"/>
    </row>
    <row r="12" spans="1:14" s="78" customFormat="1">
      <c r="A12" s="247">
        <v>3</v>
      </c>
      <c r="B12" s="248">
        <v>2</v>
      </c>
      <c r="C12" s="249">
        <f t="shared" ref="C12:C15" si="1">H11</f>
        <v>54414.019152107721</v>
      </c>
      <c r="D12" s="249"/>
      <c r="E12" s="250">
        <f t="shared" ref="E12:E20" si="2">C12*$E$6</f>
        <v>4625.1916279291563</v>
      </c>
      <c r="F12" s="250"/>
      <c r="G12" s="249">
        <f t="shared" ref="G12:G20" si="3">SUM($D$10:$D$10)/$E$7</f>
        <v>13603.50478802693</v>
      </c>
      <c r="H12" s="249">
        <f t="shared" si="0"/>
        <v>40810.514364080795</v>
      </c>
      <c r="I12" s="77"/>
      <c r="J12" s="77"/>
    </row>
    <row r="13" spans="1:14" s="78" customFormat="1">
      <c r="A13" s="247">
        <v>4</v>
      </c>
      <c r="B13" s="248">
        <v>3</v>
      </c>
      <c r="C13" s="249">
        <f t="shared" si="1"/>
        <v>40810.514364080795</v>
      </c>
      <c r="D13" s="249"/>
      <c r="E13" s="250">
        <f t="shared" si="2"/>
        <v>3468.8937209468677</v>
      </c>
      <c r="F13" s="250"/>
      <c r="G13" s="249">
        <f t="shared" si="3"/>
        <v>13603.50478802693</v>
      </c>
      <c r="H13" s="249">
        <f t="shared" si="0"/>
        <v>27207.009576053864</v>
      </c>
      <c r="I13" s="77"/>
      <c r="J13" s="77"/>
      <c r="M13" s="63"/>
    </row>
    <row r="14" spans="1:14" s="78" customFormat="1">
      <c r="A14" s="247">
        <v>5</v>
      </c>
      <c r="B14" s="248">
        <v>4</v>
      </c>
      <c r="C14" s="249">
        <f t="shared" si="1"/>
        <v>27207.009576053864</v>
      </c>
      <c r="D14" s="249"/>
      <c r="E14" s="250">
        <f t="shared" si="2"/>
        <v>2312.5958139645786</v>
      </c>
      <c r="F14" s="250"/>
      <c r="G14" s="249">
        <f t="shared" si="3"/>
        <v>13603.50478802693</v>
      </c>
      <c r="H14" s="249">
        <f t="shared" si="0"/>
        <v>13603.504788026934</v>
      </c>
      <c r="I14" s="77"/>
      <c r="J14" s="77"/>
      <c r="M14" s="63"/>
    </row>
    <row r="15" spans="1:14" s="78" customFormat="1">
      <c r="A15" s="247">
        <v>6</v>
      </c>
      <c r="B15" s="248">
        <v>5</v>
      </c>
      <c r="C15" s="249">
        <f t="shared" si="1"/>
        <v>13603.504788026934</v>
      </c>
      <c r="D15" s="249"/>
      <c r="E15" s="250">
        <f t="shared" si="2"/>
        <v>1156.2979069822895</v>
      </c>
      <c r="F15" s="249"/>
      <c r="G15" s="249">
        <f t="shared" si="3"/>
        <v>13603.50478802693</v>
      </c>
      <c r="H15" s="249">
        <f t="shared" si="0"/>
        <v>3.637978807091713E-12</v>
      </c>
      <c r="I15" s="77"/>
      <c r="J15" s="77"/>
      <c r="M15" s="63"/>
    </row>
    <row r="16" spans="1:14" hidden="1">
      <c r="A16" s="61">
        <v>7</v>
      </c>
      <c r="B16" s="62">
        <v>6</v>
      </c>
      <c r="C16" s="75">
        <f>H15</f>
        <v>3.637978807091713E-12</v>
      </c>
      <c r="D16" s="75"/>
      <c r="E16" s="76">
        <f t="shared" si="2"/>
        <v>3.0922819860279562E-13</v>
      </c>
      <c r="F16" s="75"/>
      <c r="G16" s="75">
        <f t="shared" si="3"/>
        <v>13603.50478802693</v>
      </c>
      <c r="H16" s="73">
        <f>C16+D16-SUM(G16:G16)+F16</f>
        <v>-13603.504788026927</v>
      </c>
      <c r="M16" s="63">
        <v>3380000</v>
      </c>
      <c r="N16" s="1" t="s">
        <v>95</v>
      </c>
    </row>
    <row r="17" spans="1:14" hidden="1">
      <c r="A17" s="61">
        <v>8</v>
      </c>
      <c r="B17" s="62">
        <v>7</v>
      </c>
      <c r="C17" s="75">
        <f>H16</f>
        <v>-13603.504788026927</v>
      </c>
      <c r="D17" s="75"/>
      <c r="E17" s="76">
        <f t="shared" si="2"/>
        <v>-1156.2979069822889</v>
      </c>
      <c r="F17" s="75"/>
      <c r="G17" s="75">
        <f t="shared" si="3"/>
        <v>13603.50478802693</v>
      </c>
      <c r="H17" s="73">
        <f>C17+D17-SUM(G17:G17)+F17</f>
        <v>-27207.009576053857</v>
      </c>
      <c r="M17" s="64" t="e">
        <f>#REF!</f>
        <v>#REF!</v>
      </c>
      <c r="N17" s="1" t="s">
        <v>96</v>
      </c>
    </row>
    <row r="18" spans="1:14" hidden="1">
      <c r="A18" s="61">
        <v>9</v>
      </c>
      <c r="B18" s="62">
        <v>8</v>
      </c>
      <c r="C18" s="75">
        <f>H17</f>
        <v>-27207.009576053857</v>
      </c>
      <c r="D18" s="75"/>
      <c r="E18" s="76">
        <f t="shared" si="2"/>
        <v>-2312.5958139645782</v>
      </c>
      <c r="F18" s="75"/>
      <c r="G18" s="75">
        <f t="shared" si="3"/>
        <v>13603.50478802693</v>
      </c>
      <c r="H18" s="73">
        <f>C18+D18-SUM(G18:G18)+F18</f>
        <v>-40810.514364080787</v>
      </c>
      <c r="M18" s="63" t="e">
        <f>+M17*M16*0.8*50/70*1/100</f>
        <v>#REF!</v>
      </c>
    </row>
    <row r="19" spans="1:14" hidden="1">
      <c r="A19" s="61">
        <v>10</v>
      </c>
      <c r="B19" s="62">
        <v>9</v>
      </c>
      <c r="C19" s="75">
        <f>H18</f>
        <v>-40810.514364080787</v>
      </c>
      <c r="D19" s="75"/>
      <c r="E19" s="76">
        <f t="shared" si="2"/>
        <v>-3468.8937209468672</v>
      </c>
      <c r="F19" s="75"/>
      <c r="G19" s="75">
        <f t="shared" si="3"/>
        <v>13603.50478802693</v>
      </c>
      <c r="H19" s="73">
        <f>C19+D19-SUM(G19:G19)+F19</f>
        <v>-54414.019152107721</v>
      </c>
      <c r="M19" s="63">
        <f>+M16*32103.26*0.8</f>
        <v>86807215040</v>
      </c>
    </row>
    <row r="20" spans="1:14" hidden="1">
      <c r="A20" s="61">
        <v>11</v>
      </c>
      <c r="B20" s="62">
        <v>10</v>
      </c>
      <c r="C20" s="75">
        <f>H19</f>
        <v>-54414.019152107721</v>
      </c>
      <c r="D20" s="75"/>
      <c r="E20" s="76">
        <f t="shared" si="2"/>
        <v>-4625.1916279291563</v>
      </c>
      <c r="F20" s="75"/>
      <c r="G20" s="75">
        <f t="shared" si="3"/>
        <v>13603.50478802693</v>
      </c>
      <c r="H20" s="73">
        <f>C20+D20-SUM(G20:G20)+F20</f>
        <v>-68017.523940134648</v>
      </c>
      <c r="M20" s="63"/>
    </row>
    <row r="21" spans="1:14">
      <c r="M21" s="63"/>
    </row>
    <row r="22" spans="1:14">
      <c r="M22" s="63"/>
    </row>
    <row r="23" spans="1:14">
      <c r="M23" s="63"/>
    </row>
    <row r="24" spans="1:14" ht="16.5" thickBot="1"/>
    <row r="25" spans="1:14" ht="20.25" thickBot="1">
      <c r="M25" s="228">
        <v>78038</v>
      </c>
    </row>
    <row r="26" spans="1:14" ht="19.5" thickBot="1">
      <c r="M26" s="229">
        <v>29986.5</v>
      </c>
      <c r="N26" s="234">
        <f>+M26/$M$25*100</f>
        <v>38.425510648658346</v>
      </c>
    </row>
    <row r="27" spans="1:14" ht="19.5" thickBot="1">
      <c r="M27" s="229">
        <v>6184.7</v>
      </c>
      <c r="N27" s="234">
        <f t="shared" ref="N27:N32" si="4">+M27/$M$25*100</f>
        <v>7.9252415489889536</v>
      </c>
    </row>
    <row r="28" spans="1:14" ht="19.5" thickBot="1">
      <c r="M28" s="229">
        <v>3567.6</v>
      </c>
      <c r="N28" s="234">
        <f t="shared" si="4"/>
        <v>4.571618954868141</v>
      </c>
    </row>
    <row r="29" spans="1:14" ht="19.5" thickBot="1">
      <c r="M29" s="230">
        <v>461.7</v>
      </c>
      <c r="N29" s="234">
        <f t="shared" si="4"/>
        <v>0.59163484456290516</v>
      </c>
    </row>
    <row r="30" spans="1:14" ht="19.5" thickBot="1">
      <c r="M30" s="231">
        <v>32785</v>
      </c>
      <c r="N30" s="234">
        <f t="shared" si="4"/>
        <v>42.011584100053824</v>
      </c>
    </row>
    <row r="31" spans="1:14" ht="19.5" thickBot="1">
      <c r="M31" s="229">
        <v>3502.2</v>
      </c>
      <c r="N31" s="234">
        <f t="shared" si="4"/>
        <v>4.4878136292575403</v>
      </c>
    </row>
    <row r="32" spans="1:14" ht="19.5" thickBot="1">
      <c r="M32" s="229">
        <v>1550.1</v>
      </c>
      <c r="N32" s="234">
        <f t="shared" si="4"/>
        <v>1.9863399882108717</v>
      </c>
    </row>
    <row r="33" spans="13:13" ht="20.25" thickBot="1">
      <c r="M33" s="232">
        <v>11490</v>
      </c>
    </row>
    <row r="34" spans="13:13" ht="19.5" thickBot="1">
      <c r="M34" s="231">
        <v>11490</v>
      </c>
    </row>
    <row r="35" spans="13:13" ht="19.5" thickBot="1">
      <c r="M35" s="233">
        <v>89528</v>
      </c>
    </row>
  </sheetData>
  <mergeCells count="7">
    <mergeCell ref="A1:H1"/>
    <mergeCell ref="F3:G3"/>
    <mergeCell ref="G8:H8"/>
    <mergeCell ref="B3:D3"/>
    <mergeCell ref="B5:D5"/>
    <mergeCell ref="B6:D6"/>
    <mergeCell ref="B7:D7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2"/>
  <sheetViews>
    <sheetView tabSelected="1" zoomScale="85" zoomScaleNormal="85" workbookViewId="0">
      <selection activeCell="C7" sqref="C7"/>
    </sheetView>
  </sheetViews>
  <sheetFormatPr defaultColWidth="9.140625" defaultRowHeight="15.75"/>
  <cols>
    <col min="1" max="1" width="6.42578125" style="1" customWidth="1"/>
    <col min="2" max="2" width="32.85546875" style="1" customWidth="1"/>
    <col min="3" max="3" width="16.7109375" style="1" customWidth="1"/>
    <col min="4" max="8" width="13.140625" style="1" customWidth="1"/>
    <col min="9" max="16384" width="9.140625" style="1"/>
  </cols>
  <sheetData>
    <row r="2" spans="1:9" ht="37.5" customHeight="1">
      <c r="A2" s="277" t="s">
        <v>266</v>
      </c>
      <c r="B2" s="277"/>
      <c r="C2" s="277"/>
      <c r="D2" s="277"/>
      <c r="E2" s="277"/>
      <c r="F2" s="277"/>
      <c r="G2" s="277"/>
      <c r="H2" s="277"/>
    </row>
    <row r="3" spans="1:9" ht="18" customHeight="1"/>
    <row r="4" spans="1:9" ht="30" customHeight="1">
      <c r="A4" s="273" t="s">
        <v>273</v>
      </c>
      <c r="B4" s="273" t="s">
        <v>1</v>
      </c>
      <c r="C4" s="274" t="s">
        <v>19</v>
      </c>
      <c r="D4" s="275"/>
      <c r="E4" s="275"/>
      <c r="F4" s="275"/>
      <c r="G4" s="275"/>
      <c r="H4" s="276"/>
      <c r="I4" s="106"/>
    </row>
    <row r="5" spans="1:9" ht="30" customHeight="1">
      <c r="A5" s="273"/>
      <c r="B5" s="273"/>
      <c r="C5" s="6" t="s">
        <v>2</v>
      </c>
      <c r="D5" s="6" t="s">
        <v>20</v>
      </c>
      <c r="E5" s="6" t="s">
        <v>14</v>
      </c>
      <c r="F5" s="6" t="s">
        <v>15</v>
      </c>
      <c r="G5" s="6" t="s">
        <v>9</v>
      </c>
      <c r="H5" s="6" t="s">
        <v>10</v>
      </c>
    </row>
    <row r="6" spans="1:9" ht="30" customHeight="1">
      <c r="A6" s="91" t="s">
        <v>100</v>
      </c>
      <c r="B6" s="92" t="s">
        <v>105</v>
      </c>
      <c r="C6" s="91"/>
      <c r="D6" s="91"/>
      <c r="E6" s="91"/>
      <c r="F6" s="91"/>
      <c r="G6" s="91"/>
      <c r="H6" s="91"/>
    </row>
    <row r="7" spans="1:9" ht="30" customHeight="1">
      <c r="A7" s="91">
        <v>1</v>
      </c>
      <c r="B7" s="92" t="s">
        <v>106</v>
      </c>
      <c r="C7" s="90">
        <f>'Gia tri khu dat'!G51/1000000</f>
        <v>28101.04779375</v>
      </c>
      <c r="D7" s="91"/>
      <c r="E7" s="91"/>
      <c r="F7" s="91"/>
      <c r="G7" s="91"/>
      <c r="H7" s="91"/>
    </row>
    <row r="8" spans="1:9" ht="30" customHeight="1">
      <c r="A8" s="6" t="s">
        <v>102</v>
      </c>
      <c r="B8" s="7" t="s">
        <v>101</v>
      </c>
      <c r="C8" s="4"/>
      <c r="D8" s="5"/>
      <c r="E8" s="5"/>
      <c r="F8" s="5"/>
      <c r="G8" s="5"/>
      <c r="H8" s="5"/>
    </row>
    <row r="9" spans="1:9" ht="30" customHeight="1">
      <c r="A9" s="88">
        <v>1</v>
      </c>
      <c r="B9" s="89" t="s">
        <v>120</v>
      </c>
      <c r="C9" s="4">
        <f>0.05*'[2]Kinh doanh'!$E$40*1000</f>
        <v>0</v>
      </c>
      <c r="D9" s="90">
        <f>0.002*'kinh doanh'!F38*1000</f>
        <v>0</v>
      </c>
      <c r="E9" s="90">
        <f>0.002*'kinh doanh'!G38*1000</f>
        <v>0</v>
      </c>
      <c r="F9" s="90">
        <f>0.002*'kinh doanh'!H38*1000</f>
        <v>75.283380000000008</v>
      </c>
      <c r="G9" s="90">
        <f>0.002*'kinh doanh'!I38*1000</f>
        <v>150.56676000000002</v>
      </c>
      <c r="H9" s="90">
        <f>0.002*'kinh doanh'!J38*1000</f>
        <v>150.56676000000002</v>
      </c>
    </row>
    <row r="10" spans="1:9" ht="30" customHeight="1">
      <c r="A10" s="88"/>
      <c r="B10" s="89"/>
      <c r="C10" s="4"/>
      <c r="D10" s="90"/>
      <c r="E10" s="90"/>
      <c r="F10" s="90"/>
      <c r="G10" s="5"/>
      <c r="H10" s="5"/>
    </row>
    <row r="11" spans="1:9">
      <c r="A11" s="46"/>
      <c r="B11" s="7"/>
      <c r="C11" s="4"/>
      <c r="D11" s="5"/>
      <c r="E11" s="5"/>
      <c r="F11" s="5"/>
      <c r="G11" s="5"/>
      <c r="H11" s="5"/>
    </row>
    <row r="12" spans="1:9" s="10" customFormat="1">
      <c r="A12" s="8"/>
      <c r="B12" s="8" t="s">
        <v>18</v>
      </c>
      <c r="C12" s="9">
        <f>SUM(C6:C11)</f>
        <v>28101.04779375</v>
      </c>
      <c r="D12" s="9">
        <f t="shared" ref="D12:H12" si="0">SUM(D8:D11)</f>
        <v>0</v>
      </c>
      <c r="E12" s="9">
        <f t="shared" si="0"/>
        <v>0</v>
      </c>
      <c r="F12" s="9">
        <f t="shared" si="0"/>
        <v>75.283380000000008</v>
      </c>
      <c r="G12" s="9">
        <f t="shared" si="0"/>
        <v>150.56676000000002</v>
      </c>
      <c r="H12" s="9">
        <f t="shared" si="0"/>
        <v>150.56676000000002</v>
      </c>
    </row>
    <row r="20" ht="30" customHeight="1"/>
    <row r="21" ht="30" customHeight="1"/>
    <row r="22" ht="30" customHeight="1"/>
  </sheetData>
  <mergeCells count="4">
    <mergeCell ref="A4:A5"/>
    <mergeCell ref="B4:B5"/>
    <mergeCell ref="C4:H4"/>
    <mergeCell ref="A2:H2"/>
  </mergeCells>
  <printOptions horizontalCentered="1"/>
  <pageMargins left="0.45" right="0.3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8"/>
  <sheetViews>
    <sheetView topLeftCell="A19" workbookViewId="0">
      <selection activeCell="E49" sqref="E49"/>
    </sheetView>
  </sheetViews>
  <sheetFormatPr defaultColWidth="9.140625" defaultRowHeight="15.75"/>
  <cols>
    <col min="1" max="1" width="7.85546875" style="243" customWidth="1"/>
    <col min="2" max="2" width="9.5703125" style="65" customWidth="1"/>
    <col min="3" max="3" width="13.42578125" style="65" customWidth="1"/>
    <col min="4" max="4" width="9.85546875" style="65" customWidth="1"/>
    <col min="5" max="5" width="9.7109375" style="65" customWidth="1"/>
    <col min="6" max="6" width="12.7109375" style="65" customWidth="1"/>
    <col min="7" max="7" width="18.7109375" style="65" customWidth="1"/>
    <col min="8" max="8" width="29.140625" style="65" customWidth="1"/>
    <col min="9" max="9" width="17.140625" style="65" hidden="1" customWidth="1"/>
    <col min="10" max="10" width="25.42578125" style="65" hidden="1" customWidth="1"/>
    <col min="11" max="11" width="9.140625" style="65"/>
    <col min="12" max="12" width="12.7109375" style="65" bestFit="1" customWidth="1"/>
    <col min="13" max="13" width="9.140625" style="65"/>
    <col min="14" max="14" width="25.28515625" style="65" customWidth="1"/>
    <col min="15" max="15" width="11.42578125" style="65" customWidth="1"/>
    <col min="16" max="16" width="9.140625" style="65"/>
    <col min="17" max="17" width="14.140625" style="65" customWidth="1"/>
    <col min="18" max="18" width="20.42578125" style="65" customWidth="1"/>
    <col min="19" max="16384" width="9.140625" style="65"/>
  </cols>
  <sheetData>
    <row r="1" spans="1:15" ht="46.5" customHeight="1">
      <c r="A1" s="278" t="s">
        <v>235</v>
      </c>
      <c r="B1" s="279"/>
      <c r="C1" s="279"/>
      <c r="D1" s="279"/>
      <c r="E1" s="279"/>
      <c r="F1" s="279"/>
      <c r="G1" s="279"/>
      <c r="H1" s="279"/>
      <c r="I1" s="279"/>
      <c r="J1" s="279"/>
      <c r="K1" s="107"/>
      <c r="L1" s="107"/>
      <c r="M1" s="107"/>
      <c r="N1" s="107"/>
      <c r="O1" s="107"/>
    </row>
    <row r="2" spans="1:15" ht="21.75" customHeight="1">
      <c r="A2" s="241" t="s">
        <v>0</v>
      </c>
      <c r="B2" s="118" t="s">
        <v>107</v>
      </c>
      <c r="C2" s="93" t="s">
        <v>108</v>
      </c>
      <c r="D2" s="93" t="s">
        <v>109</v>
      </c>
      <c r="E2" s="93" t="s">
        <v>110</v>
      </c>
      <c r="F2" s="93" t="s">
        <v>111</v>
      </c>
      <c r="G2" s="93" t="s">
        <v>112</v>
      </c>
      <c r="H2" s="93" t="s">
        <v>59</v>
      </c>
      <c r="I2" s="93" t="s">
        <v>113</v>
      </c>
      <c r="J2" s="109" t="s">
        <v>114</v>
      </c>
      <c r="K2" s="110"/>
      <c r="L2" s="110"/>
      <c r="M2" s="110"/>
    </row>
    <row r="3" spans="1:15" ht="20.25" customHeight="1">
      <c r="A3" s="242"/>
      <c r="B3" s="108" t="s">
        <v>236</v>
      </c>
      <c r="C3" s="93"/>
      <c r="D3" s="93"/>
      <c r="E3" s="93"/>
      <c r="F3" s="93"/>
      <c r="G3" s="93"/>
      <c r="H3" s="93"/>
      <c r="I3" s="93"/>
      <c r="J3" s="111"/>
      <c r="K3" s="110"/>
      <c r="L3" s="110"/>
      <c r="M3" s="110"/>
    </row>
    <row r="4" spans="1:15">
      <c r="A4" s="237">
        <v>1</v>
      </c>
      <c r="B4" s="237" t="s">
        <v>237</v>
      </c>
      <c r="C4" s="96">
        <v>86.8</v>
      </c>
      <c r="D4" s="96">
        <f>15.39+3.61+2.5</f>
        <v>21.5</v>
      </c>
      <c r="E4" s="96">
        <v>1.1000000000000001</v>
      </c>
      <c r="F4" s="100">
        <v>16000000</v>
      </c>
      <c r="G4" s="100">
        <f>+C4*F4*E4</f>
        <v>1527680000.0000002</v>
      </c>
      <c r="H4" s="100"/>
      <c r="I4" s="93"/>
      <c r="J4" s="111"/>
      <c r="K4" s="110"/>
      <c r="L4" s="110"/>
      <c r="M4" s="110"/>
    </row>
    <row r="5" spans="1:15">
      <c r="A5" s="237">
        <v>2</v>
      </c>
      <c r="B5" s="237" t="s">
        <v>238</v>
      </c>
      <c r="C5" s="96">
        <v>91</v>
      </c>
      <c r="D5" s="96">
        <v>5</v>
      </c>
      <c r="E5" s="96">
        <v>1</v>
      </c>
      <c r="F5" s="100">
        <f>$F$4</f>
        <v>16000000</v>
      </c>
      <c r="G5" s="100">
        <f t="shared" ref="G5:G29" si="0">+C5*F5*E5</f>
        <v>1456000000</v>
      </c>
      <c r="H5" s="96"/>
      <c r="I5" s="93"/>
      <c r="J5" s="111"/>
      <c r="K5" s="110"/>
      <c r="L5" s="110"/>
      <c r="M5" s="110"/>
    </row>
    <row r="6" spans="1:15">
      <c r="A6" s="237">
        <v>3</v>
      </c>
      <c r="B6" s="237" t="s">
        <v>239</v>
      </c>
      <c r="C6" s="96">
        <v>89</v>
      </c>
      <c r="D6" s="96">
        <f>16.02+3.46+2.5</f>
        <v>21.98</v>
      </c>
      <c r="E6" s="96">
        <v>1.1000000000000001</v>
      </c>
      <c r="F6" s="100">
        <f t="shared" ref="F6:F7" si="1">$F$4</f>
        <v>16000000</v>
      </c>
      <c r="G6" s="100">
        <f t="shared" si="0"/>
        <v>1566400000.0000002</v>
      </c>
      <c r="H6" s="96"/>
      <c r="I6" s="93"/>
      <c r="J6" s="111"/>
      <c r="K6" s="110"/>
      <c r="L6" s="110"/>
      <c r="M6" s="110"/>
      <c r="N6" s="65">
        <f>6+7.5</f>
        <v>13.5</v>
      </c>
    </row>
    <row r="7" spans="1:15">
      <c r="A7" s="237">
        <v>4</v>
      </c>
      <c r="B7" s="237" t="s">
        <v>240</v>
      </c>
      <c r="C7" s="96">
        <f>8*90</f>
        <v>720</v>
      </c>
      <c r="D7" s="96">
        <f>2*5</f>
        <v>10</v>
      </c>
      <c r="E7" s="96">
        <v>1</v>
      </c>
      <c r="F7" s="100">
        <f t="shared" si="1"/>
        <v>16000000</v>
      </c>
      <c r="G7" s="100">
        <f>+C7*F7*E7</f>
        <v>11520000000</v>
      </c>
      <c r="H7" s="96"/>
      <c r="I7" s="93"/>
      <c r="J7" s="111"/>
      <c r="K7" s="110"/>
      <c r="L7" s="110"/>
      <c r="M7" s="110"/>
    </row>
    <row r="8" spans="1:15">
      <c r="A8" s="237">
        <v>5</v>
      </c>
      <c r="B8" s="237" t="s">
        <v>241</v>
      </c>
      <c r="C8" s="96">
        <v>86.9</v>
      </c>
      <c r="D8" s="96">
        <f>9.5+3.54+5</f>
        <v>18.04</v>
      </c>
      <c r="E8" s="96">
        <v>1.1000000000000001</v>
      </c>
      <c r="F8" s="100">
        <f>F4</f>
        <v>16000000</v>
      </c>
      <c r="G8" s="100">
        <f t="shared" ref="G8:G9" si="2">+C8*F8*E8</f>
        <v>1529440000.0000002</v>
      </c>
      <c r="H8" s="238"/>
      <c r="I8" s="93"/>
      <c r="J8" s="111"/>
      <c r="K8" s="110"/>
      <c r="L8" s="110"/>
      <c r="M8" s="110"/>
    </row>
    <row r="9" spans="1:15">
      <c r="A9" s="237">
        <v>6</v>
      </c>
      <c r="B9" s="237" t="s">
        <v>242</v>
      </c>
      <c r="C9" s="96">
        <v>86.9</v>
      </c>
      <c r="D9" s="96">
        <f>9.5+3.54+5</f>
        <v>18.04</v>
      </c>
      <c r="E9" s="96">
        <v>1.1000000000000001</v>
      </c>
      <c r="F9" s="100">
        <f>F8</f>
        <v>16000000</v>
      </c>
      <c r="G9" s="100">
        <f t="shared" si="2"/>
        <v>1529440000.0000002</v>
      </c>
      <c r="H9" s="238"/>
      <c r="I9" s="93"/>
      <c r="J9" s="111"/>
      <c r="K9" s="110"/>
      <c r="L9" s="110"/>
      <c r="M9" s="110"/>
    </row>
    <row r="10" spans="1:15">
      <c r="A10" s="242"/>
      <c r="B10" s="108"/>
      <c r="C10" s="96"/>
      <c r="D10" s="96"/>
      <c r="E10" s="96"/>
      <c r="F10" s="96"/>
      <c r="G10" s="100">
        <f t="shared" si="0"/>
        <v>0</v>
      </c>
      <c r="H10" s="96"/>
      <c r="I10" s="93"/>
      <c r="J10" s="111"/>
      <c r="K10" s="110"/>
      <c r="L10" s="110"/>
      <c r="M10" s="110"/>
    </row>
    <row r="11" spans="1:15">
      <c r="A11" s="237"/>
      <c r="B11" s="108" t="s">
        <v>243</v>
      </c>
      <c r="C11" s="93"/>
      <c r="D11" s="93"/>
      <c r="E11" s="93"/>
      <c r="F11" s="93"/>
      <c r="G11" s="100">
        <f t="shared" si="0"/>
        <v>0</v>
      </c>
      <c r="H11" s="93"/>
      <c r="I11" s="93"/>
      <c r="J11" s="111"/>
      <c r="K11" s="110"/>
      <c r="L11" s="110"/>
      <c r="M11" s="110"/>
    </row>
    <row r="12" spans="1:15">
      <c r="A12" s="237">
        <v>1</v>
      </c>
      <c r="B12" s="237" t="s">
        <v>244</v>
      </c>
      <c r="C12" s="96">
        <v>83.7</v>
      </c>
      <c r="D12" s="96">
        <f>3.5+3.54+3+3.54+3.5</f>
        <v>17.079999999999998</v>
      </c>
      <c r="E12" s="96">
        <v>1.1000000000000001</v>
      </c>
      <c r="F12" s="100">
        <v>18000000</v>
      </c>
      <c r="G12" s="100">
        <f t="shared" si="0"/>
        <v>1657260000.0000002</v>
      </c>
      <c r="H12" s="238" t="s">
        <v>122</v>
      </c>
      <c r="I12" s="93"/>
      <c r="J12" s="111"/>
      <c r="K12" s="110"/>
      <c r="L12" s="110"/>
      <c r="M12" s="110"/>
    </row>
    <row r="13" spans="1:15">
      <c r="A13" s="237">
        <v>2</v>
      </c>
      <c r="B13" s="237" t="s">
        <v>260</v>
      </c>
      <c r="C13" s="96">
        <f>7*90</f>
        <v>630</v>
      </c>
      <c r="D13" s="96">
        <f>2*6</f>
        <v>12</v>
      </c>
      <c r="E13" s="96">
        <v>1</v>
      </c>
      <c r="F13" s="100">
        <f>$F$12</f>
        <v>18000000</v>
      </c>
      <c r="G13" s="100">
        <f>+C13*F13*E13</f>
        <v>11340000000</v>
      </c>
      <c r="H13" s="238" t="s">
        <v>122</v>
      </c>
      <c r="I13" s="93"/>
      <c r="J13" s="111"/>
      <c r="K13" s="110"/>
      <c r="L13" s="110"/>
      <c r="M13" s="110"/>
    </row>
    <row r="14" spans="1:15">
      <c r="A14" s="237">
        <v>3</v>
      </c>
      <c r="B14" s="237" t="s">
        <v>245</v>
      </c>
      <c r="C14" s="96">
        <v>90</v>
      </c>
      <c r="D14" s="96">
        <f>6*2</f>
        <v>12</v>
      </c>
      <c r="E14" s="96">
        <v>1</v>
      </c>
      <c r="F14" s="100">
        <f t="shared" ref="F14" si="3">$F$12</f>
        <v>18000000</v>
      </c>
      <c r="G14" s="100">
        <f t="shared" si="0"/>
        <v>1620000000</v>
      </c>
      <c r="H14" s="238" t="s">
        <v>122</v>
      </c>
      <c r="I14" s="93"/>
      <c r="J14" s="111"/>
      <c r="K14" s="110"/>
      <c r="L14" s="110"/>
      <c r="M14" s="110"/>
    </row>
    <row r="15" spans="1:15">
      <c r="A15" s="237"/>
      <c r="B15" s="112"/>
      <c r="C15" s="96"/>
      <c r="D15" s="96"/>
      <c r="E15" s="96"/>
      <c r="F15" s="100"/>
      <c r="G15" s="100"/>
      <c r="H15" s="96"/>
      <c r="I15" s="93"/>
      <c r="J15" s="111"/>
      <c r="K15" s="110"/>
      <c r="L15" s="110"/>
      <c r="M15" s="110"/>
    </row>
    <row r="16" spans="1:15" ht="20.25" customHeight="1">
      <c r="A16" s="242"/>
      <c r="B16" s="108" t="s">
        <v>246</v>
      </c>
      <c r="C16" s="93"/>
      <c r="D16" s="93"/>
      <c r="E16" s="93"/>
      <c r="F16" s="93"/>
      <c r="G16" s="93"/>
      <c r="H16" s="93"/>
      <c r="I16" s="93"/>
      <c r="J16" s="111"/>
      <c r="K16" s="110"/>
      <c r="L16" s="110"/>
      <c r="M16" s="110"/>
    </row>
    <row r="17" spans="1:18">
      <c r="A17" s="237">
        <v>1</v>
      </c>
      <c r="B17" s="237" t="s">
        <v>247</v>
      </c>
      <c r="C17" s="96">
        <v>93.2</v>
      </c>
      <c r="D17" s="96">
        <f>16.57+3.61+2.53</f>
        <v>22.71</v>
      </c>
      <c r="E17" s="96">
        <v>1.1000000000000001</v>
      </c>
      <c r="F17" s="100">
        <f>F4</f>
        <v>16000000</v>
      </c>
      <c r="G17" s="100">
        <f>+C17*F17*E17</f>
        <v>1640320000.0000002</v>
      </c>
      <c r="H17" s="100"/>
      <c r="I17" s="93"/>
      <c r="J17" s="111"/>
      <c r="K17" s="110"/>
      <c r="L17" s="110"/>
      <c r="M17" s="110"/>
    </row>
    <row r="18" spans="1:18">
      <c r="A18" s="237">
        <v>2</v>
      </c>
      <c r="B18" s="237" t="s">
        <v>248</v>
      </c>
      <c r="C18" s="96">
        <v>96.9</v>
      </c>
      <c r="D18" s="96">
        <v>5</v>
      </c>
      <c r="E18" s="96">
        <v>1</v>
      </c>
      <c r="F18" s="100">
        <f>$F$4</f>
        <v>16000000</v>
      </c>
      <c r="G18" s="100">
        <f t="shared" ref="G18:G19" si="4">+C18*F18*E18</f>
        <v>1550400000</v>
      </c>
      <c r="H18" s="96"/>
      <c r="I18" s="93"/>
      <c r="J18" s="111"/>
      <c r="K18" s="110"/>
      <c r="L18" s="110"/>
      <c r="M18" s="110"/>
    </row>
    <row r="19" spans="1:18">
      <c r="A19" s="237">
        <v>3</v>
      </c>
      <c r="B19" s="237" t="s">
        <v>249</v>
      </c>
      <c r="C19" s="96">
        <v>102.9</v>
      </c>
      <c r="D19" s="96">
        <f>16.57+3.61+2.53</f>
        <v>22.71</v>
      </c>
      <c r="E19" s="96">
        <v>1.1000000000000001</v>
      </c>
      <c r="F19" s="100">
        <f t="shared" ref="F19:F27" si="5">$F$4</f>
        <v>16000000</v>
      </c>
      <c r="G19" s="100">
        <f t="shared" si="4"/>
        <v>1811040000.0000002</v>
      </c>
      <c r="H19" s="96"/>
      <c r="I19" s="93"/>
      <c r="J19" s="111"/>
      <c r="K19" s="110"/>
      <c r="L19" s="110"/>
      <c r="M19" s="110"/>
    </row>
    <row r="20" spans="1:18">
      <c r="A20" s="237"/>
      <c r="B20" s="237" t="s">
        <v>250</v>
      </c>
      <c r="C20" s="96">
        <v>89.1</v>
      </c>
      <c r="D20" s="96">
        <f>2*6</f>
        <v>12</v>
      </c>
      <c r="E20" s="96">
        <v>1</v>
      </c>
      <c r="F20" s="100">
        <f t="shared" si="5"/>
        <v>16000000</v>
      </c>
      <c r="G20" s="100">
        <f>+C20*F20*E20</f>
        <v>1425600000</v>
      </c>
      <c r="H20" s="96"/>
      <c r="I20" s="93"/>
      <c r="J20" s="111"/>
      <c r="K20" s="110"/>
      <c r="L20" s="110"/>
      <c r="M20" s="110"/>
    </row>
    <row r="21" spans="1:18">
      <c r="A21" s="237"/>
      <c r="B21" s="237" t="s">
        <v>251</v>
      </c>
      <c r="C21" s="96">
        <v>87.5</v>
      </c>
      <c r="D21" s="96">
        <f t="shared" ref="D21:D27" si="6">2*6</f>
        <v>12</v>
      </c>
      <c r="E21" s="96">
        <v>1</v>
      </c>
      <c r="F21" s="100">
        <f t="shared" si="5"/>
        <v>16000000</v>
      </c>
      <c r="G21" s="100">
        <f t="shared" ref="G21:G22" si="7">+C21*F21*E21</f>
        <v>1400000000</v>
      </c>
      <c r="H21" s="96"/>
      <c r="I21" s="93"/>
      <c r="J21" s="111"/>
      <c r="K21" s="110"/>
      <c r="L21" s="110"/>
      <c r="M21" s="110"/>
    </row>
    <row r="22" spans="1:18">
      <c r="A22" s="237"/>
      <c r="B22" s="237" t="s">
        <v>252</v>
      </c>
      <c r="C22" s="96">
        <v>85.7</v>
      </c>
      <c r="D22" s="96">
        <f t="shared" si="6"/>
        <v>12</v>
      </c>
      <c r="E22" s="96">
        <v>1</v>
      </c>
      <c r="F22" s="100">
        <f t="shared" si="5"/>
        <v>16000000</v>
      </c>
      <c r="G22" s="100">
        <f t="shared" si="7"/>
        <v>1371200000</v>
      </c>
      <c r="H22" s="96"/>
      <c r="I22" s="93"/>
      <c r="J22" s="111"/>
      <c r="K22" s="110"/>
      <c r="L22" s="110"/>
      <c r="M22" s="110"/>
    </row>
    <row r="23" spans="1:18">
      <c r="A23" s="237">
        <v>12</v>
      </c>
      <c r="B23" s="237" t="s">
        <v>253</v>
      </c>
      <c r="C23" s="96">
        <v>83.9</v>
      </c>
      <c r="D23" s="96">
        <f t="shared" si="6"/>
        <v>12</v>
      </c>
      <c r="E23" s="96">
        <v>1</v>
      </c>
      <c r="F23" s="100">
        <f t="shared" si="5"/>
        <v>16000000</v>
      </c>
      <c r="G23" s="100">
        <f t="shared" si="0"/>
        <v>1342400000</v>
      </c>
      <c r="H23" s="96"/>
      <c r="I23" s="93"/>
      <c r="J23" s="111"/>
      <c r="K23" s="110"/>
      <c r="L23" s="110"/>
      <c r="M23" s="110"/>
    </row>
    <row r="24" spans="1:18">
      <c r="A24" s="237">
        <v>13</v>
      </c>
      <c r="B24" s="237" t="s">
        <v>254</v>
      </c>
      <c r="C24" s="96">
        <v>82</v>
      </c>
      <c r="D24" s="96">
        <f t="shared" si="6"/>
        <v>12</v>
      </c>
      <c r="E24" s="96">
        <v>1</v>
      </c>
      <c r="F24" s="100">
        <f t="shared" si="5"/>
        <v>16000000</v>
      </c>
      <c r="G24" s="100">
        <f t="shared" si="0"/>
        <v>1312000000</v>
      </c>
      <c r="H24" s="96"/>
      <c r="I24" s="93"/>
      <c r="J24" s="111"/>
      <c r="K24" s="110"/>
      <c r="L24" s="110"/>
      <c r="M24" s="110"/>
    </row>
    <row r="25" spans="1:18">
      <c r="A25" s="237">
        <v>14</v>
      </c>
      <c r="B25" s="237" t="s">
        <v>255</v>
      </c>
      <c r="C25" s="96">
        <v>80.099999999999994</v>
      </c>
      <c r="D25" s="96">
        <f t="shared" si="6"/>
        <v>12</v>
      </c>
      <c r="E25" s="96">
        <v>1</v>
      </c>
      <c r="F25" s="100">
        <f t="shared" si="5"/>
        <v>16000000</v>
      </c>
      <c r="G25" s="100">
        <f t="shared" si="0"/>
        <v>1281600000</v>
      </c>
      <c r="H25" s="96"/>
      <c r="I25" s="93"/>
      <c r="J25" s="111"/>
      <c r="K25" s="110"/>
      <c r="L25" s="110"/>
      <c r="M25" s="110"/>
    </row>
    <row r="26" spans="1:18">
      <c r="A26" s="237">
        <v>15</v>
      </c>
      <c r="B26" s="237" t="s">
        <v>256</v>
      </c>
      <c r="C26" s="96">
        <v>78</v>
      </c>
      <c r="D26" s="96">
        <f t="shared" si="6"/>
        <v>12</v>
      </c>
      <c r="E26" s="96">
        <v>1</v>
      </c>
      <c r="F26" s="100">
        <f t="shared" si="5"/>
        <v>16000000</v>
      </c>
      <c r="G26" s="100">
        <f t="shared" si="0"/>
        <v>1248000000</v>
      </c>
      <c r="H26" s="96"/>
      <c r="I26" s="93"/>
      <c r="J26" s="111"/>
      <c r="K26" s="110"/>
      <c r="L26" s="110"/>
      <c r="M26" s="110"/>
    </row>
    <row r="27" spans="1:18">
      <c r="A27" s="237">
        <v>16</v>
      </c>
      <c r="B27" s="237" t="s">
        <v>257</v>
      </c>
      <c r="C27" s="96">
        <v>75.8</v>
      </c>
      <c r="D27" s="96">
        <f t="shared" si="6"/>
        <v>12</v>
      </c>
      <c r="E27" s="96">
        <v>1</v>
      </c>
      <c r="F27" s="100">
        <f t="shared" si="5"/>
        <v>16000000</v>
      </c>
      <c r="G27" s="100">
        <f t="shared" si="0"/>
        <v>1212800000</v>
      </c>
      <c r="H27" s="96"/>
      <c r="I27" s="93"/>
      <c r="J27" s="111"/>
      <c r="K27" s="110"/>
      <c r="L27" s="110"/>
      <c r="M27" s="110"/>
    </row>
    <row r="28" spans="1:18">
      <c r="A28" s="237">
        <v>17</v>
      </c>
      <c r="B28" s="237" t="s">
        <v>258</v>
      </c>
      <c r="C28" s="96">
        <v>70.900000000000006</v>
      </c>
      <c r="D28" s="96">
        <f>10.02+2.92+3.69</f>
        <v>16.63</v>
      </c>
      <c r="E28" s="96">
        <v>1.1000000000000001</v>
      </c>
      <c r="F28" s="100">
        <f>F12</f>
        <v>18000000</v>
      </c>
      <c r="G28" s="100">
        <f t="shared" si="0"/>
        <v>1403820000</v>
      </c>
      <c r="H28" s="238" t="s">
        <v>122</v>
      </c>
      <c r="I28" s="93"/>
      <c r="J28" s="111"/>
      <c r="K28" s="110"/>
      <c r="L28" s="110"/>
      <c r="M28" s="110"/>
    </row>
    <row r="29" spans="1:18">
      <c r="A29" s="237">
        <v>18</v>
      </c>
      <c r="B29" s="237" t="s">
        <v>259</v>
      </c>
      <c r="C29" s="96">
        <v>70</v>
      </c>
      <c r="D29" s="96">
        <f>10+2.83+3.98</f>
        <v>16.809999999999999</v>
      </c>
      <c r="E29" s="96">
        <v>1.1000000000000001</v>
      </c>
      <c r="F29" s="100">
        <f>F28</f>
        <v>18000000</v>
      </c>
      <c r="G29" s="100">
        <f t="shared" si="0"/>
        <v>1386000000</v>
      </c>
      <c r="H29" s="238" t="s">
        <v>122</v>
      </c>
      <c r="I29" s="93"/>
      <c r="J29" s="111"/>
      <c r="K29" s="110"/>
      <c r="L29" s="110"/>
      <c r="M29" s="110"/>
    </row>
    <row r="30" spans="1:18">
      <c r="A30" s="237"/>
      <c r="B30" s="112"/>
      <c r="C30" s="96"/>
      <c r="D30" s="96"/>
      <c r="E30" s="96"/>
      <c r="F30" s="100"/>
      <c r="G30" s="100"/>
      <c r="H30" s="96"/>
      <c r="I30" s="93"/>
      <c r="J30" s="111"/>
      <c r="K30" s="110"/>
      <c r="L30" s="110"/>
      <c r="M30" s="110"/>
    </row>
    <row r="31" spans="1:18" hidden="1">
      <c r="A31" s="242" t="s">
        <v>18</v>
      </c>
      <c r="B31" s="113"/>
      <c r="C31" s="94"/>
      <c r="D31" s="101"/>
      <c r="E31" s="114"/>
      <c r="F31" s="114"/>
      <c r="G31" s="101">
        <f>SUM(G4:G30)</f>
        <v>52131400000</v>
      </c>
      <c r="H31" s="101"/>
      <c r="I31" s="105"/>
      <c r="R31" s="100"/>
    </row>
    <row r="32" spans="1:18" s="110" customFormat="1">
      <c r="A32" s="242" t="s">
        <v>115</v>
      </c>
      <c r="B32" s="94"/>
      <c r="C32" s="94">
        <f>+SUM(C4:C29)</f>
        <v>3060.3</v>
      </c>
      <c r="D32" s="94"/>
      <c r="E32" s="94"/>
      <c r="F32" s="94"/>
      <c r="G32" s="239">
        <f>+SUM(G4:G29)</f>
        <v>52131400000</v>
      </c>
      <c r="H32" s="102"/>
      <c r="I32" s="94"/>
      <c r="R32" s="100"/>
    </row>
    <row r="33" spans="1:18">
      <c r="B33" s="115"/>
      <c r="C33" s="116"/>
      <c r="R33" s="100"/>
    </row>
    <row r="34" spans="1:18">
      <c r="A34" s="244" t="s">
        <v>123</v>
      </c>
      <c r="R34" s="100"/>
    </row>
    <row r="35" spans="1:18">
      <c r="A35" s="244" t="s">
        <v>124</v>
      </c>
      <c r="Q35" s="65" t="s">
        <v>93</v>
      </c>
      <c r="R35" s="100">
        <v>240845963234</v>
      </c>
    </row>
    <row r="36" spans="1:18">
      <c r="A36" s="245" t="s">
        <v>125</v>
      </c>
      <c r="G36" s="97">
        <f>+G32</f>
        <v>52131400000</v>
      </c>
      <c r="H36" s="65" t="s">
        <v>126</v>
      </c>
      <c r="J36" s="65" t="s">
        <v>126</v>
      </c>
      <c r="Q36" s="65" t="s">
        <v>116</v>
      </c>
      <c r="R36" s="100">
        <v>162721897134</v>
      </c>
    </row>
    <row r="37" spans="1:18">
      <c r="A37" s="245" t="s">
        <v>127</v>
      </c>
      <c r="G37" s="97">
        <f>'kinh doanh'!D30*4500000</f>
        <v>68856750000</v>
      </c>
      <c r="H37" s="65" t="s">
        <v>126</v>
      </c>
      <c r="J37" s="65" t="s">
        <v>126</v>
      </c>
      <c r="R37" s="100">
        <v>101094256326</v>
      </c>
    </row>
    <row r="38" spans="1:18">
      <c r="A38" s="243" t="s">
        <v>128</v>
      </c>
      <c r="G38" s="97">
        <f>SUM(G36:G37)</f>
        <v>120988150000</v>
      </c>
      <c r="H38" s="65" t="s">
        <v>126</v>
      </c>
      <c r="J38" s="65" t="s">
        <v>126</v>
      </c>
      <c r="L38" s="97">
        <f>G38/C32</f>
        <v>39534735.156683981</v>
      </c>
      <c r="R38" s="100">
        <v>61627640808</v>
      </c>
    </row>
    <row r="39" spans="1:18">
      <c r="A39" s="244" t="s">
        <v>129</v>
      </c>
      <c r="Q39" s="65" t="s">
        <v>117</v>
      </c>
      <c r="R39" s="100">
        <v>481691926</v>
      </c>
    </row>
    <row r="40" spans="1:18">
      <c r="A40" s="245" t="s">
        <v>130</v>
      </c>
      <c r="G40" s="98">
        <f>'kinh doanh'!D5*1000000000</f>
        <v>9486188520.0081997</v>
      </c>
      <c r="H40" s="65" t="s">
        <v>126</v>
      </c>
      <c r="J40" s="65" t="s">
        <v>126</v>
      </c>
      <c r="R40" s="103">
        <v>19526627656</v>
      </c>
    </row>
    <row r="41" spans="1:18">
      <c r="A41" s="245" t="s">
        <v>131</v>
      </c>
      <c r="G41" s="98">
        <f>'kinh doanh'!D8*10^9</f>
        <v>75535716405.160095</v>
      </c>
      <c r="H41" s="65" t="s">
        <v>126</v>
      </c>
      <c r="J41" s="65" t="s">
        <v>126</v>
      </c>
      <c r="Q41" s="65" t="s">
        <v>118</v>
      </c>
      <c r="R41" s="104">
        <f>+R39/R35</f>
        <v>1.9999999980568491E-3</v>
      </c>
    </row>
    <row r="42" spans="1:18">
      <c r="A42" s="245" t="s">
        <v>264</v>
      </c>
      <c r="G42" s="98">
        <f>+'kinh doanh'!D11*10^9</f>
        <v>0</v>
      </c>
      <c r="H42" s="65" t="s">
        <v>126</v>
      </c>
      <c r="R42" s="104"/>
    </row>
    <row r="43" spans="1:18">
      <c r="A43" s="245" t="s">
        <v>132</v>
      </c>
      <c r="G43" s="98">
        <f>+(G36+G37)*0.002</f>
        <v>241976300</v>
      </c>
      <c r="H43" s="65" t="s">
        <v>126</v>
      </c>
      <c r="J43" s="65" t="s">
        <v>126</v>
      </c>
      <c r="R43" s="104">
        <f>+R40/R36</f>
        <v>0.11999999999950836</v>
      </c>
    </row>
    <row r="44" spans="1:18">
      <c r="A44" s="245" t="s">
        <v>219</v>
      </c>
      <c r="G44" s="98">
        <f>+(G40+G41)*0.05</f>
        <v>4251095246.2584147</v>
      </c>
      <c r="H44" s="65" t="s">
        <v>126</v>
      </c>
      <c r="J44" s="65" t="s">
        <v>126</v>
      </c>
      <c r="R44" s="100">
        <v>240845963234</v>
      </c>
    </row>
    <row r="45" spans="1:18">
      <c r="A45" s="245" t="s">
        <v>133</v>
      </c>
      <c r="R45" s="100">
        <v>182730216716</v>
      </c>
    </row>
    <row r="46" spans="1:18">
      <c r="A46" s="243" t="s">
        <v>134</v>
      </c>
      <c r="G46" s="98">
        <f>ROUND(SUM(G40:G44),0)</f>
        <v>89514976471</v>
      </c>
      <c r="H46" s="65" t="s">
        <v>126</v>
      </c>
      <c r="J46" s="65" t="s">
        <v>126</v>
      </c>
      <c r="R46" s="100">
        <v>240845963234</v>
      </c>
    </row>
    <row r="47" spans="1:18">
      <c r="A47" s="244" t="s">
        <v>135</v>
      </c>
    </row>
    <row r="48" spans="1:18">
      <c r="A48" s="243" t="s">
        <v>136</v>
      </c>
    </row>
    <row r="49" spans="1:18">
      <c r="A49" s="243" t="s">
        <v>137</v>
      </c>
      <c r="B49" s="65" t="str">
        <f>G38&amp;"-"&amp;"("&amp;G46&amp;"+"&amp;"12% Giá trị khu đất)"</f>
        <v>120988150000-(89514976471+12% Giá trị khu đất)</v>
      </c>
      <c r="O49" s="97"/>
      <c r="R49" s="97">
        <f>+R44-R45</f>
        <v>58115746518</v>
      </c>
    </row>
    <row r="50" spans="1:18" ht="14.45" customHeight="1">
      <c r="A50" s="243" t="s">
        <v>119</v>
      </c>
      <c r="G50" s="97">
        <f>+G38-G46</f>
        <v>31473173529</v>
      </c>
      <c r="R50" s="65">
        <v>51889059391</v>
      </c>
    </row>
    <row r="51" spans="1:18">
      <c r="A51" s="243" t="s">
        <v>138</v>
      </c>
      <c r="G51" s="99">
        <f>G50*100/112</f>
        <v>28101047793.75</v>
      </c>
      <c r="H51" s="65" t="s">
        <v>126</v>
      </c>
      <c r="J51" s="65" t="s">
        <v>126</v>
      </c>
      <c r="R51" s="97">
        <f>+R49-R50</f>
        <v>6226687127</v>
      </c>
    </row>
    <row r="52" spans="1:18">
      <c r="R52" s="117">
        <f>+R51/R50</f>
        <v>0.12000000000154175</v>
      </c>
    </row>
    <row r="55" spans="1:18">
      <c r="N55" s="98"/>
    </row>
    <row r="58" spans="1:18">
      <c r="N58" s="235"/>
    </row>
  </sheetData>
  <mergeCells count="1">
    <mergeCell ref="A1:J1"/>
  </mergeCells>
  <printOptions horizontalCentered="1"/>
  <pageMargins left="0.45" right="0.3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25" sqref="L25"/>
    </sheetView>
  </sheetViews>
  <sheetFormatPr defaultRowHeight="15"/>
  <cols>
    <col min="1" max="1" width="3.28515625" style="12" bestFit="1" customWidth="1"/>
    <col min="2" max="2" width="8.85546875" style="12" bestFit="1" customWidth="1"/>
    <col min="3" max="3" width="10.42578125" style="12" customWidth="1"/>
    <col min="4" max="4" width="9.140625" style="12"/>
    <col min="5" max="5" width="12.140625" style="12" customWidth="1"/>
    <col min="6" max="7" width="9.140625" style="12"/>
    <col min="8" max="8" width="12.85546875" style="12" customWidth="1"/>
    <col min="9" max="251" width="9.140625" style="12"/>
    <col min="252" max="252" width="5.7109375" style="12" customWidth="1"/>
    <col min="253" max="253" width="9.140625" style="12"/>
    <col min="254" max="254" width="6.5703125" style="12" customWidth="1"/>
    <col min="255" max="255" width="9.140625" style="12"/>
    <col min="256" max="256" width="8.140625" style="12" customWidth="1"/>
    <col min="257" max="259" width="9.140625" style="12"/>
    <col min="260" max="260" width="27" style="12" customWidth="1"/>
    <col min="261" max="507" width="9.140625" style="12"/>
    <col min="508" max="508" width="5.7109375" style="12" customWidth="1"/>
    <col min="509" max="509" width="9.140625" style="12"/>
    <col min="510" max="510" width="6.5703125" style="12" customWidth="1"/>
    <col min="511" max="511" width="9.140625" style="12"/>
    <col min="512" max="512" width="8.140625" style="12" customWidth="1"/>
    <col min="513" max="515" width="9.140625" style="12"/>
    <col min="516" max="516" width="27" style="12" customWidth="1"/>
    <col min="517" max="763" width="9.140625" style="12"/>
    <col min="764" max="764" width="5.7109375" style="12" customWidth="1"/>
    <col min="765" max="765" width="9.140625" style="12"/>
    <col min="766" max="766" width="6.5703125" style="12" customWidth="1"/>
    <col min="767" max="767" width="9.140625" style="12"/>
    <col min="768" max="768" width="8.140625" style="12" customWidth="1"/>
    <col min="769" max="771" width="9.140625" style="12"/>
    <col min="772" max="772" width="27" style="12" customWidth="1"/>
    <col min="773" max="1019" width="9.140625" style="12"/>
    <col min="1020" max="1020" width="5.7109375" style="12" customWidth="1"/>
    <col min="1021" max="1021" width="9.140625" style="12"/>
    <col min="1022" max="1022" width="6.5703125" style="12" customWidth="1"/>
    <col min="1023" max="1023" width="9.140625" style="12"/>
    <col min="1024" max="1024" width="8.140625" style="12" customWidth="1"/>
    <col min="1025" max="1027" width="9.140625" style="12"/>
    <col min="1028" max="1028" width="27" style="12" customWidth="1"/>
    <col min="1029" max="1275" width="9.140625" style="12"/>
    <col min="1276" max="1276" width="5.7109375" style="12" customWidth="1"/>
    <col min="1277" max="1277" width="9.140625" style="12"/>
    <col min="1278" max="1278" width="6.5703125" style="12" customWidth="1"/>
    <col min="1279" max="1279" width="9.140625" style="12"/>
    <col min="1280" max="1280" width="8.140625" style="12" customWidth="1"/>
    <col min="1281" max="1283" width="9.140625" style="12"/>
    <col min="1284" max="1284" width="27" style="12" customWidth="1"/>
    <col min="1285" max="1531" width="9.140625" style="12"/>
    <col min="1532" max="1532" width="5.7109375" style="12" customWidth="1"/>
    <col min="1533" max="1533" width="9.140625" style="12"/>
    <col min="1534" max="1534" width="6.5703125" style="12" customWidth="1"/>
    <col min="1535" max="1535" width="9.140625" style="12"/>
    <col min="1536" max="1536" width="8.140625" style="12" customWidth="1"/>
    <col min="1537" max="1539" width="9.140625" style="12"/>
    <col min="1540" max="1540" width="27" style="12" customWidth="1"/>
    <col min="1541" max="1787" width="9.140625" style="12"/>
    <col min="1788" max="1788" width="5.7109375" style="12" customWidth="1"/>
    <col min="1789" max="1789" width="9.140625" style="12"/>
    <col min="1790" max="1790" width="6.5703125" style="12" customWidth="1"/>
    <col min="1791" max="1791" width="9.140625" style="12"/>
    <col min="1792" max="1792" width="8.140625" style="12" customWidth="1"/>
    <col min="1793" max="1795" width="9.140625" style="12"/>
    <col min="1796" max="1796" width="27" style="12" customWidth="1"/>
    <col min="1797" max="2043" width="9.140625" style="12"/>
    <col min="2044" max="2044" width="5.7109375" style="12" customWidth="1"/>
    <col min="2045" max="2045" width="9.140625" style="12"/>
    <col min="2046" max="2046" width="6.5703125" style="12" customWidth="1"/>
    <col min="2047" max="2047" width="9.140625" style="12"/>
    <col min="2048" max="2048" width="8.140625" style="12" customWidth="1"/>
    <col min="2049" max="2051" width="9.140625" style="12"/>
    <col min="2052" max="2052" width="27" style="12" customWidth="1"/>
    <col min="2053" max="2299" width="9.140625" style="12"/>
    <col min="2300" max="2300" width="5.7109375" style="12" customWidth="1"/>
    <col min="2301" max="2301" width="9.140625" style="12"/>
    <col min="2302" max="2302" width="6.5703125" style="12" customWidth="1"/>
    <col min="2303" max="2303" width="9.140625" style="12"/>
    <col min="2304" max="2304" width="8.140625" style="12" customWidth="1"/>
    <col min="2305" max="2307" width="9.140625" style="12"/>
    <col min="2308" max="2308" width="27" style="12" customWidth="1"/>
    <col min="2309" max="2555" width="9.140625" style="12"/>
    <col min="2556" max="2556" width="5.7109375" style="12" customWidth="1"/>
    <col min="2557" max="2557" width="9.140625" style="12"/>
    <col min="2558" max="2558" width="6.5703125" style="12" customWidth="1"/>
    <col min="2559" max="2559" width="9.140625" style="12"/>
    <col min="2560" max="2560" width="8.140625" style="12" customWidth="1"/>
    <col min="2561" max="2563" width="9.140625" style="12"/>
    <col min="2564" max="2564" width="27" style="12" customWidth="1"/>
    <col min="2565" max="2811" width="9.140625" style="12"/>
    <col min="2812" max="2812" width="5.7109375" style="12" customWidth="1"/>
    <col min="2813" max="2813" width="9.140625" style="12"/>
    <col min="2814" max="2814" width="6.5703125" style="12" customWidth="1"/>
    <col min="2815" max="2815" width="9.140625" style="12"/>
    <col min="2816" max="2816" width="8.140625" style="12" customWidth="1"/>
    <col min="2817" max="2819" width="9.140625" style="12"/>
    <col min="2820" max="2820" width="27" style="12" customWidth="1"/>
    <col min="2821" max="3067" width="9.140625" style="12"/>
    <col min="3068" max="3068" width="5.7109375" style="12" customWidth="1"/>
    <col min="3069" max="3069" width="9.140625" style="12"/>
    <col min="3070" max="3070" width="6.5703125" style="12" customWidth="1"/>
    <col min="3071" max="3071" width="9.140625" style="12"/>
    <col min="3072" max="3072" width="8.140625" style="12" customWidth="1"/>
    <col min="3073" max="3075" width="9.140625" style="12"/>
    <col min="3076" max="3076" width="27" style="12" customWidth="1"/>
    <col min="3077" max="3323" width="9.140625" style="12"/>
    <col min="3324" max="3324" width="5.7109375" style="12" customWidth="1"/>
    <col min="3325" max="3325" width="9.140625" style="12"/>
    <col min="3326" max="3326" width="6.5703125" style="12" customWidth="1"/>
    <col min="3327" max="3327" width="9.140625" style="12"/>
    <col min="3328" max="3328" width="8.140625" style="12" customWidth="1"/>
    <col min="3329" max="3331" width="9.140625" style="12"/>
    <col min="3332" max="3332" width="27" style="12" customWidth="1"/>
    <col min="3333" max="3579" width="9.140625" style="12"/>
    <col min="3580" max="3580" width="5.7109375" style="12" customWidth="1"/>
    <col min="3581" max="3581" width="9.140625" style="12"/>
    <col min="3582" max="3582" width="6.5703125" style="12" customWidth="1"/>
    <col min="3583" max="3583" width="9.140625" style="12"/>
    <col min="3584" max="3584" width="8.140625" style="12" customWidth="1"/>
    <col min="3585" max="3587" width="9.140625" style="12"/>
    <col min="3588" max="3588" width="27" style="12" customWidth="1"/>
    <col min="3589" max="3835" width="9.140625" style="12"/>
    <col min="3836" max="3836" width="5.7109375" style="12" customWidth="1"/>
    <col min="3837" max="3837" width="9.140625" style="12"/>
    <col min="3838" max="3838" width="6.5703125" style="12" customWidth="1"/>
    <col min="3839" max="3839" width="9.140625" style="12"/>
    <col min="3840" max="3840" width="8.140625" style="12" customWidth="1"/>
    <col min="3841" max="3843" width="9.140625" style="12"/>
    <col min="3844" max="3844" width="27" style="12" customWidth="1"/>
    <col min="3845" max="4091" width="9.140625" style="12"/>
    <col min="4092" max="4092" width="5.7109375" style="12" customWidth="1"/>
    <col min="4093" max="4093" width="9.140625" style="12"/>
    <col min="4094" max="4094" width="6.5703125" style="12" customWidth="1"/>
    <col min="4095" max="4095" width="9.140625" style="12"/>
    <col min="4096" max="4096" width="8.140625" style="12" customWidth="1"/>
    <col min="4097" max="4099" width="9.140625" style="12"/>
    <col min="4100" max="4100" width="27" style="12" customWidth="1"/>
    <col min="4101" max="4347" width="9.140625" style="12"/>
    <col min="4348" max="4348" width="5.7109375" style="12" customWidth="1"/>
    <col min="4349" max="4349" width="9.140625" style="12"/>
    <col min="4350" max="4350" width="6.5703125" style="12" customWidth="1"/>
    <col min="4351" max="4351" width="9.140625" style="12"/>
    <col min="4352" max="4352" width="8.140625" style="12" customWidth="1"/>
    <col min="4353" max="4355" width="9.140625" style="12"/>
    <col min="4356" max="4356" width="27" style="12" customWidth="1"/>
    <col min="4357" max="4603" width="9.140625" style="12"/>
    <col min="4604" max="4604" width="5.7109375" style="12" customWidth="1"/>
    <col min="4605" max="4605" width="9.140625" style="12"/>
    <col min="4606" max="4606" width="6.5703125" style="12" customWidth="1"/>
    <col min="4607" max="4607" width="9.140625" style="12"/>
    <col min="4608" max="4608" width="8.140625" style="12" customWidth="1"/>
    <col min="4609" max="4611" width="9.140625" style="12"/>
    <col min="4612" max="4612" width="27" style="12" customWidth="1"/>
    <col min="4613" max="4859" width="9.140625" style="12"/>
    <col min="4860" max="4860" width="5.7109375" style="12" customWidth="1"/>
    <col min="4861" max="4861" width="9.140625" style="12"/>
    <col min="4862" max="4862" width="6.5703125" style="12" customWidth="1"/>
    <col min="4863" max="4863" width="9.140625" style="12"/>
    <col min="4864" max="4864" width="8.140625" style="12" customWidth="1"/>
    <col min="4865" max="4867" width="9.140625" style="12"/>
    <col min="4868" max="4868" width="27" style="12" customWidth="1"/>
    <col min="4869" max="5115" width="9.140625" style="12"/>
    <col min="5116" max="5116" width="5.7109375" style="12" customWidth="1"/>
    <col min="5117" max="5117" width="9.140625" style="12"/>
    <col min="5118" max="5118" width="6.5703125" style="12" customWidth="1"/>
    <col min="5119" max="5119" width="9.140625" style="12"/>
    <col min="5120" max="5120" width="8.140625" style="12" customWidth="1"/>
    <col min="5121" max="5123" width="9.140625" style="12"/>
    <col min="5124" max="5124" width="27" style="12" customWidth="1"/>
    <col min="5125" max="5371" width="9.140625" style="12"/>
    <col min="5372" max="5372" width="5.7109375" style="12" customWidth="1"/>
    <col min="5373" max="5373" width="9.140625" style="12"/>
    <col min="5374" max="5374" width="6.5703125" style="12" customWidth="1"/>
    <col min="5375" max="5375" width="9.140625" style="12"/>
    <col min="5376" max="5376" width="8.140625" style="12" customWidth="1"/>
    <col min="5377" max="5379" width="9.140625" style="12"/>
    <col min="5380" max="5380" width="27" style="12" customWidth="1"/>
    <col min="5381" max="5627" width="9.140625" style="12"/>
    <col min="5628" max="5628" width="5.7109375" style="12" customWidth="1"/>
    <col min="5629" max="5629" width="9.140625" style="12"/>
    <col min="5630" max="5630" width="6.5703125" style="12" customWidth="1"/>
    <col min="5631" max="5631" width="9.140625" style="12"/>
    <col min="5632" max="5632" width="8.140625" style="12" customWidth="1"/>
    <col min="5633" max="5635" width="9.140625" style="12"/>
    <col min="5636" max="5636" width="27" style="12" customWidth="1"/>
    <col min="5637" max="5883" width="9.140625" style="12"/>
    <col min="5884" max="5884" width="5.7109375" style="12" customWidth="1"/>
    <col min="5885" max="5885" width="9.140625" style="12"/>
    <col min="5886" max="5886" width="6.5703125" style="12" customWidth="1"/>
    <col min="5887" max="5887" width="9.140625" style="12"/>
    <col min="5888" max="5888" width="8.140625" style="12" customWidth="1"/>
    <col min="5889" max="5891" width="9.140625" style="12"/>
    <col min="5892" max="5892" width="27" style="12" customWidth="1"/>
    <col min="5893" max="6139" width="9.140625" style="12"/>
    <col min="6140" max="6140" width="5.7109375" style="12" customWidth="1"/>
    <col min="6141" max="6141" width="9.140625" style="12"/>
    <col min="6142" max="6142" width="6.5703125" style="12" customWidth="1"/>
    <col min="6143" max="6143" width="9.140625" style="12"/>
    <col min="6144" max="6144" width="8.140625" style="12" customWidth="1"/>
    <col min="6145" max="6147" width="9.140625" style="12"/>
    <col min="6148" max="6148" width="27" style="12" customWidth="1"/>
    <col min="6149" max="6395" width="9.140625" style="12"/>
    <col min="6396" max="6396" width="5.7109375" style="12" customWidth="1"/>
    <col min="6397" max="6397" width="9.140625" style="12"/>
    <col min="6398" max="6398" width="6.5703125" style="12" customWidth="1"/>
    <col min="6399" max="6399" width="9.140625" style="12"/>
    <col min="6400" max="6400" width="8.140625" style="12" customWidth="1"/>
    <col min="6401" max="6403" width="9.140625" style="12"/>
    <col min="6404" max="6404" width="27" style="12" customWidth="1"/>
    <col min="6405" max="6651" width="9.140625" style="12"/>
    <col min="6652" max="6652" width="5.7109375" style="12" customWidth="1"/>
    <col min="6653" max="6653" width="9.140625" style="12"/>
    <col min="6654" max="6654" width="6.5703125" style="12" customWidth="1"/>
    <col min="6655" max="6655" width="9.140625" style="12"/>
    <col min="6656" max="6656" width="8.140625" style="12" customWidth="1"/>
    <col min="6657" max="6659" width="9.140625" style="12"/>
    <col min="6660" max="6660" width="27" style="12" customWidth="1"/>
    <col min="6661" max="6907" width="9.140625" style="12"/>
    <col min="6908" max="6908" width="5.7109375" style="12" customWidth="1"/>
    <col min="6909" max="6909" width="9.140625" style="12"/>
    <col min="6910" max="6910" width="6.5703125" style="12" customWidth="1"/>
    <col min="6911" max="6911" width="9.140625" style="12"/>
    <col min="6912" max="6912" width="8.140625" style="12" customWidth="1"/>
    <col min="6913" max="6915" width="9.140625" style="12"/>
    <col min="6916" max="6916" width="27" style="12" customWidth="1"/>
    <col min="6917" max="7163" width="9.140625" style="12"/>
    <col min="7164" max="7164" width="5.7109375" style="12" customWidth="1"/>
    <col min="7165" max="7165" width="9.140625" style="12"/>
    <col min="7166" max="7166" width="6.5703125" style="12" customWidth="1"/>
    <col min="7167" max="7167" width="9.140625" style="12"/>
    <col min="7168" max="7168" width="8.140625" style="12" customWidth="1"/>
    <col min="7169" max="7171" width="9.140625" style="12"/>
    <col min="7172" max="7172" width="27" style="12" customWidth="1"/>
    <col min="7173" max="7419" width="9.140625" style="12"/>
    <col min="7420" max="7420" width="5.7109375" style="12" customWidth="1"/>
    <col min="7421" max="7421" width="9.140625" style="12"/>
    <col min="7422" max="7422" width="6.5703125" style="12" customWidth="1"/>
    <col min="7423" max="7423" width="9.140625" style="12"/>
    <col min="7424" max="7424" width="8.140625" style="12" customWidth="1"/>
    <col min="7425" max="7427" width="9.140625" style="12"/>
    <col min="7428" max="7428" width="27" style="12" customWidth="1"/>
    <col min="7429" max="7675" width="9.140625" style="12"/>
    <col min="7676" max="7676" width="5.7109375" style="12" customWidth="1"/>
    <col min="7677" max="7677" width="9.140625" style="12"/>
    <col min="7678" max="7678" width="6.5703125" style="12" customWidth="1"/>
    <col min="7679" max="7679" width="9.140625" style="12"/>
    <col min="7680" max="7680" width="8.140625" style="12" customWidth="1"/>
    <col min="7681" max="7683" width="9.140625" style="12"/>
    <col min="7684" max="7684" width="27" style="12" customWidth="1"/>
    <col min="7685" max="7931" width="9.140625" style="12"/>
    <col min="7932" max="7932" width="5.7109375" style="12" customWidth="1"/>
    <col min="7933" max="7933" width="9.140625" style="12"/>
    <col min="7934" max="7934" width="6.5703125" style="12" customWidth="1"/>
    <col min="7935" max="7935" width="9.140625" style="12"/>
    <col min="7936" max="7936" width="8.140625" style="12" customWidth="1"/>
    <col min="7937" max="7939" width="9.140625" style="12"/>
    <col min="7940" max="7940" width="27" style="12" customWidth="1"/>
    <col min="7941" max="8187" width="9.140625" style="12"/>
    <col min="8188" max="8188" width="5.7109375" style="12" customWidth="1"/>
    <col min="8189" max="8189" width="9.140625" style="12"/>
    <col min="8190" max="8190" width="6.5703125" style="12" customWidth="1"/>
    <col min="8191" max="8191" width="9.140625" style="12"/>
    <col min="8192" max="8192" width="8.140625" style="12" customWidth="1"/>
    <col min="8193" max="8195" width="9.140625" style="12"/>
    <col min="8196" max="8196" width="27" style="12" customWidth="1"/>
    <col min="8197" max="8443" width="9.140625" style="12"/>
    <col min="8444" max="8444" width="5.7109375" style="12" customWidth="1"/>
    <col min="8445" max="8445" width="9.140625" style="12"/>
    <col min="8446" max="8446" width="6.5703125" style="12" customWidth="1"/>
    <col min="8447" max="8447" width="9.140625" style="12"/>
    <col min="8448" max="8448" width="8.140625" style="12" customWidth="1"/>
    <col min="8449" max="8451" width="9.140625" style="12"/>
    <col min="8452" max="8452" width="27" style="12" customWidth="1"/>
    <col min="8453" max="8699" width="9.140625" style="12"/>
    <col min="8700" max="8700" width="5.7109375" style="12" customWidth="1"/>
    <col min="8701" max="8701" width="9.140625" style="12"/>
    <col min="8702" max="8702" width="6.5703125" style="12" customWidth="1"/>
    <col min="8703" max="8703" width="9.140625" style="12"/>
    <col min="8704" max="8704" width="8.140625" style="12" customWidth="1"/>
    <col min="8705" max="8707" width="9.140625" style="12"/>
    <col min="8708" max="8708" width="27" style="12" customWidth="1"/>
    <col min="8709" max="8955" width="9.140625" style="12"/>
    <col min="8956" max="8956" width="5.7109375" style="12" customWidth="1"/>
    <col min="8957" max="8957" width="9.140625" style="12"/>
    <col min="8958" max="8958" width="6.5703125" style="12" customWidth="1"/>
    <col min="8959" max="8959" width="9.140625" style="12"/>
    <col min="8960" max="8960" width="8.140625" style="12" customWidth="1"/>
    <col min="8961" max="8963" width="9.140625" style="12"/>
    <col min="8964" max="8964" width="27" style="12" customWidth="1"/>
    <col min="8965" max="9211" width="9.140625" style="12"/>
    <col min="9212" max="9212" width="5.7109375" style="12" customWidth="1"/>
    <col min="9213" max="9213" width="9.140625" style="12"/>
    <col min="9214" max="9214" width="6.5703125" style="12" customWidth="1"/>
    <col min="9215" max="9215" width="9.140625" style="12"/>
    <col min="9216" max="9216" width="8.140625" style="12" customWidth="1"/>
    <col min="9217" max="9219" width="9.140625" style="12"/>
    <col min="9220" max="9220" width="27" style="12" customWidth="1"/>
    <col min="9221" max="9467" width="9.140625" style="12"/>
    <col min="9468" max="9468" width="5.7109375" style="12" customWidth="1"/>
    <col min="9469" max="9469" width="9.140625" style="12"/>
    <col min="9470" max="9470" width="6.5703125" style="12" customWidth="1"/>
    <col min="9471" max="9471" width="9.140625" style="12"/>
    <col min="9472" max="9472" width="8.140625" style="12" customWidth="1"/>
    <col min="9473" max="9475" width="9.140625" style="12"/>
    <col min="9476" max="9476" width="27" style="12" customWidth="1"/>
    <col min="9477" max="9723" width="9.140625" style="12"/>
    <col min="9724" max="9724" width="5.7109375" style="12" customWidth="1"/>
    <col min="9725" max="9725" width="9.140625" style="12"/>
    <col min="9726" max="9726" width="6.5703125" style="12" customWidth="1"/>
    <col min="9727" max="9727" width="9.140625" style="12"/>
    <col min="9728" max="9728" width="8.140625" style="12" customWidth="1"/>
    <col min="9729" max="9731" width="9.140625" style="12"/>
    <col min="9732" max="9732" width="27" style="12" customWidth="1"/>
    <col min="9733" max="9979" width="9.140625" style="12"/>
    <col min="9980" max="9980" width="5.7109375" style="12" customWidth="1"/>
    <col min="9981" max="9981" width="9.140625" style="12"/>
    <col min="9982" max="9982" width="6.5703125" style="12" customWidth="1"/>
    <col min="9983" max="9983" width="9.140625" style="12"/>
    <col min="9984" max="9984" width="8.140625" style="12" customWidth="1"/>
    <col min="9985" max="9987" width="9.140625" style="12"/>
    <col min="9988" max="9988" width="27" style="12" customWidth="1"/>
    <col min="9989" max="10235" width="9.140625" style="12"/>
    <col min="10236" max="10236" width="5.7109375" style="12" customWidth="1"/>
    <col min="10237" max="10237" width="9.140625" style="12"/>
    <col min="10238" max="10238" width="6.5703125" style="12" customWidth="1"/>
    <col min="10239" max="10239" width="9.140625" style="12"/>
    <col min="10240" max="10240" width="8.140625" style="12" customWidth="1"/>
    <col min="10241" max="10243" width="9.140625" style="12"/>
    <col min="10244" max="10244" width="27" style="12" customWidth="1"/>
    <col min="10245" max="10491" width="9.140625" style="12"/>
    <col min="10492" max="10492" width="5.7109375" style="12" customWidth="1"/>
    <col min="10493" max="10493" width="9.140625" style="12"/>
    <col min="10494" max="10494" width="6.5703125" style="12" customWidth="1"/>
    <col min="10495" max="10495" width="9.140625" style="12"/>
    <col min="10496" max="10496" width="8.140625" style="12" customWidth="1"/>
    <col min="10497" max="10499" width="9.140625" style="12"/>
    <col min="10500" max="10500" width="27" style="12" customWidth="1"/>
    <col min="10501" max="10747" width="9.140625" style="12"/>
    <col min="10748" max="10748" width="5.7109375" style="12" customWidth="1"/>
    <col min="10749" max="10749" width="9.140625" style="12"/>
    <col min="10750" max="10750" width="6.5703125" style="12" customWidth="1"/>
    <col min="10751" max="10751" width="9.140625" style="12"/>
    <col min="10752" max="10752" width="8.140625" style="12" customWidth="1"/>
    <col min="10753" max="10755" width="9.140625" style="12"/>
    <col min="10756" max="10756" width="27" style="12" customWidth="1"/>
    <col min="10757" max="11003" width="9.140625" style="12"/>
    <col min="11004" max="11004" width="5.7109375" style="12" customWidth="1"/>
    <col min="11005" max="11005" width="9.140625" style="12"/>
    <col min="11006" max="11006" width="6.5703125" style="12" customWidth="1"/>
    <col min="11007" max="11007" width="9.140625" style="12"/>
    <col min="11008" max="11008" width="8.140625" style="12" customWidth="1"/>
    <col min="11009" max="11011" width="9.140625" style="12"/>
    <col min="11012" max="11012" width="27" style="12" customWidth="1"/>
    <col min="11013" max="11259" width="9.140625" style="12"/>
    <col min="11260" max="11260" width="5.7109375" style="12" customWidth="1"/>
    <col min="11261" max="11261" width="9.140625" style="12"/>
    <col min="11262" max="11262" width="6.5703125" style="12" customWidth="1"/>
    <col min="11263" max="11263" width="9.140625" style="12"/>
    <col min="11264" max="11264" width="8.140625" style="12" customWidth="1"/>
    <col min="11265" max="11267" width="9.140625" style="12"/>
    <col min="11268" max="11268" width="27" style="12" customWidth="1"/>
    <col min="11269" max="11515" width="9.140625" style="12"/>
    <col min="11516" max="11516" width="5.7109375" style="12" customWidth="1"/>
    <col min="11517" max="11517" width="9.140625" style="12"/>
    <col min="11518" max="11518" width="6.5703125" style="12" customWidth="1"/>
    <col min="11519" max="11519" width="9.140625" style="12"/>
    <col min="11520" max="11520" width="8.140625" style="12" customWidth="1"/>
    <col min="11521" max="11523" width="9.140625" style="12"/>
    <col min="11524" max="11524" width="27" style="12" customWidth="1"/>
    <col min="11525" max="11771" width="9.140625" style="12"/>
    <col min="11772" max="11772" width="5.7109375" style="12" customWidth="1"/>
    <col min="11773" max="11773" width="9.140625" style="12"/>
    <col min="11774" max="11774" width="6.5703125" style="12" customWidth="1"/>
    <col min="11775" max="11775" width="9.140625" style="12"/>
    <col min="11776" max="11776" width="8.140625" style="12" customWidth="1"/>
    <col min="11777" max="11779" width="9.140625" style="12"/>
    <col min="11780" max="11780" width="27" style="12" customWidth="1"/>
    <col min="11781" max="12027" width="9.140625" style="12"/>
    <col min="12028" max="12028" width="5.7109375" style="12" customWidth="1"/>
    <col min="12029" max="12029" width="9.140625" style="12"/>
    <col min="12030" max="12030" width="6.5703125" style="12" customWidth="1"/>
    <col min="12031" max="12031" width="9.140625" style="12"/>
    <col min="12032" max="12032" width="8.140625" style="12" customWidth="1"/>
    <col min="12033" max="12035" width="9.140625" style="12"/>
    <col min="12036" max="12036" width="27" style="12" customWidth="1"/>
    <col min="12037" max="12283" width="9.140625" style="12"/>
    <col min="12284" max="12284" width="5.7109375" style="12" customWidth="1"/>
    <col min="12285" max="12285" width="9.140625" style="12"/>
    <col min="12286" max="12286" width="6.5703125" style="12" customWidth="1"/>
    <col min="12287" max="12287" width="9.140625" style="12"/>
    <col min="12288" max="12288" width="8.140625" style="12" customWidth="1"/>
    <col min="12289" max="12291" width="9.140625" style="12"/>
    <col min="12292" max="12292" width="27" style="12" customWidth="1"/>
    <col min="12293" max="12539" width="9.140625" style="12"/>
    <col min="12540" max="12540" width="5.7109375" style="12" customWidth="1"/>
    <col min="12541" max="12541" width="9.140625" style="12"/>
    <col min="12542" max="12542" width="6.5703125" style="12" customWidth="1"/>
    <col min="12543" max="12543" width="9.140625" style="12"/>
    <col min="12544" max="12544" width="8.140625" style="12" customWidth="1"/>
    <col min="12545" max="12547" width="9.140625" style="12"/>
    <col min="12548" max="12548" width="27" style="12" customWidth="1"/>
    <col min="12549" max="12795" width="9.140625" style="12"/>
    <col min="12796" max="12796" width="5.7109375" style="12" customWidth="1"/>
    <col min="12797" max="12797" width="9.140625" style="12"/>
    <col min="12798" max="12798" width="6.5703125" style="12" customWidth="1"/>
    <col min="12799" max="12799" width="9.140625" style="12"/>
    <col min="12800" max="12800" width="8.140625" style="12" customWidth="1"/>
    <col min="12801" max="12803" width="9.140625" style="12"/>
    <col min="12804" max="12804" width="27" style="12" customWidth="1"/>
    <col min="12805" max="13051" width="9.140625" style="12"/>
    <col min="13052" max="13052" width="5.7109375" style="12" customWidth="1"/>
    <col min="13053" max="13053" width="9.140625" style="12"/>
    <col min="13054" max="13054" width="6.5703125" style="12" customWidth="1"/>
    <col min="13055" max="13055" width="9.140625" style="12"/>
    <col min="13056" max="13056" width="8.140625" style="12" customWidth="1"/>
    <col min="13057" max="13059" width="9.140625" style="12"/>
    <col min="13060" max="13060" width="27" style="12" customWidth="1"/>
    <col min="13061" max="13307" width="9.140625" style="12"/>
    <col min="13308" max="13308" width="5.7109375" style="12" customWidth="1"/>
    <col min="13309" max="13309" width="9.140625" style="12"/>
    <col min="13310" max="13310" width="6.5703125" style="12" customWidth="1"/>
    <col min="13311" max="13311" width="9.140625" style="12"/>
    <col min="13312" max="13312" width="8.140625" style="12" customWidth="1"/>
    <col min="13313" max="13315" width="9.140625" style="12"/>
    <col min="13316" max="13316" width="27" style="12" customWidth="1"/>
    <col min="13317" max="13563" width="9.140625" style="12"/>
    <col min="13564" max="13564" width="5.7109375" style="12" customWidth="1"/>
    <col min="13565" max="13565" width="9.140625" style="12"/>
    <col min="13566" max="13566" width="6.5703125" style="12" customWidth="1"/>
    <col min="13567" max="13567" width="9.140625" style="12"/>
    <col min="13568" max="13568" width="8.140625" style="12" customWidth="1"/>
    <col min="13569" max="13571" width="9.140625" style="12"/>
    <col min="13572" max="13572" width="27" style="12" customWidth="1"/>
    <col min="13573" max="13819" width="9.140625" style="12"/>
    <col min="13820" max="13820" width="5.7109375" style="12" customWidth="1"/>
    <col min="13821" max="13821" width="9.140625" style="12"/>
    <col min="13822" max="13822" width="6.5703125" style="12" customWidth="1"/>
    <col min="13823" max="13823" width="9.140625" style="12"/>
    <col min="13824" max="13824" width="8.140625" style="12" customWidth="1"/>
    <col min="13825" max="13827" width="9.140625" style="12"/>
    <col min="13828" max="13828" width="27" style="12" customWidth="1"/>
    <col min="13829" max="14075" width="9.140625" style="12"/>
    <col min="14076" max="14076" width="5.7109375" style="12" customWidth="1"/>
    <col min="14077" max="14077" width="9.140625" style="12"/>
    <col min="14078" max="14078" width="6.5703125" style="12" customWidth="1"/>
    <col min="14079" max="14079" width="9.140625" style="12"/>
    <col min="14080" max="14080" width="8.140625" style="12" customWidth="1"/>
    <col min="14081" max="14083" width="9.140625" style="12"/>
    <col min="14084" max="14084" width="27" style="12" customWidth="1"/>
    <col min="14085" max="14331" width="9.140625" style="12"/>
    <col min="14332" max="14332" width="5.7109375" style="12" customWidth="1"/>
    <col min="14333" max="14333" width="9.140625" style="12"/>
    <col min="14334" max="14334" width="6.5703125" style="12" customWidth="1"/>
    <col min="14335" max="14335" width="9.140625" style="12"/>
    <col min="14336" max="14336" width="8.140625" style="12" customWidth="1"/>
    <col min="14337" max="14339" width="9.140625" style="12"/>
    <col min="14340" max="14340" width="27" style="12" customWidth="1"/>
    <col min="14341" max="14587" width="9.140625" style="12"/>
    <col min="14588" max="14588" width="5.7109375" style="12" customWidth="1"/>
    <col min="14589" max="14589" width="9.140625" style="12"/>
    <col min="14590" max="14590" width="6.5703125" style="12" customWidth="1"/>
    <col min="14591" max="14591" width="9.140625" style="12"/>
    <col min="14592" max="14592" width="8.140625" style="12" customWidth="1"/>
    <col min="14593" max="14595" width="9.140625" style="12"/>
    <col min="14596" max="14596" width="27" style="12" customWidth="1"/>
    <col min="14597" max="14843" width="9.140625" style="12"/>
    <col min="14844" max="14844" width="5.7109375" style="12" customWidth="1"/>
    <col min="14845" max="14845" width="9.140625" style="12"/>
    <col min="14846" max="14846" width="6.5703125" style="12" customWidth="1"/>
    <col min="14847" max="14847" width="9.140625" style="12"/>
    <col min="14848" max="14848" width="8.140625" style="12" customWidth="1"/>
    <col min="14849" max="14851" width="9.140625" style="12"/>
    <col min="14852" max="14852" width="27" style="12" customWidth="1"/>
    <col min="14853" max="15099" width="9.140625" style="12"/>
    <col min="15100" max="15100" width="5.7109375" style="12" customWidth="1"/>
    <col min="15101" max="15101" width="9.140625" style="12"/>
    <col min="15102" max="15102" width="6.5703125" style="12" customWidth="1"/>
    <col min="15103" max="15103" width="9.140625" style="12"/>
    <col min="15104" max="15104" width="8.140625" style="12" customWidth="1"/>
    <col min="15105" max="15107" width="9.140625" style="12"/>
    <col min="15108" max="15108" width="27" style="12" customWidth="1"/>
    <col min="15109" max="15355" width="9.140625" style="12"/>
    <col min="15356" max="15356" width="5.7109375" style="12" customWidth="1"/>
    <col min="15357" max="15357" width="9.140625" style="12"/>
    <col min="15358" max="15358" width="6.5703125" style="12" customWidth="1"/>
    <col min="15359" max="15359" width="9.140625" style="12"/>
    <col min="15360" max="15360" width="8.140625" style="12" customWidth="1"/>
    <col min="15361" max="15363" width="9.140625" style="12"/>
    <col min="15364" max="15364" width="27" style="12" customWidth="1"/>
    <col min="15365" max="15611" width="9.140625" style="12"/>
    <col min="15612" max="15612" width="5.7109375" style="12" customWidth="1"/>
    <col min="15613" max="15613" width="9.140625" style="12"/>
    <col min="15614" max="15614" width="6.5703125" style="12" customWidth="1"/>
    <col min="15615" max="15615" width="9.140625" style="12"/>
    <col min="15616" max="15616" width="8.140625" style="12" customWidth="1"/>
    <col min="15617" max="15619" width="9.140625" style="12"/>
    <col min="15620" max="15620" width="27" style="12" customWidth="1"/>
    <col min="15621" max="15867" width="9.140625" style="12"/>
    <col min="15868" max="15868" width="5.7109375" style="12" customWidth="1"/>
    <col min="15869" max="15869" width="9.140625" style="12"/>
    <col min="15870" max="15870" width="6.5703125" style="12" customWidth="1"/>
    <col min="15871" max="15871" width="9.140625" style="12"/>
    <col min="15872" max="15872" width="8.140625" style="12" customWidth="1"/>
    <col min="15873" max="15875" width="9.140625" style="12"/>
    <col min="15876" max="15876" width="27" style="12" customWidth="1"/>
    <col min="15877" max="16123" width="9.140625" style="12"/>
    <col min="16124" max="16124" width="5.7109375" style="12" customWidth="1"/>
    <col min="16125" max="16125" width="9.140625" style="12"/>
    <col min="16126" max="16126" width="6.5703125" style="12" customWidth="1"/>
    <col min="16127" max="16127" width="9.140625" style="12"/>
    <col min="16128" max="16128" width="8.140625" style="12" customWidth="1"/>
    <col min="16129" max="16131" width="9.140625" style="12"/>
    <col min="16132" max="16132" width="27" style="12" customWidth="1"/>
    <col min="16133" max="16384" width="9.140625" style="12"/>
  </cols>
  <sheetData>
    <row r="1" spans="1:10" s="11" customFormat="1" ht="15.75">
      <c r="A1" s="280" t="s">
        <v>73</v>
      </c>
      <c r="B1" s="280"/>
      <c r="C1" s="280"/>
      <c r="D1" s="280"/>
      <c r="E1" s="280"/>
      <c r="F1" s="280"/>
      <c r="G1" s="280"/>
      <c r="H1" s="280"/>
    </row>
    <row r="2" spans="1:10" s="11" customFormat="1" ht="15.75">
      <c r="C2" s="48"/>
      <c r="D2" s="48"/>
      <c r="E2" s="48"/>
      <c r="F2" s="48"/>
      <c r="G2" s="48"/>
    </row>
    <row r="3" spans="1:10" s="20" customFormat="1" ht="15.75">
      <c r="B3" s="281" t="s">
        <v>71</v>
      </c>
      <c r="C3" s="281"/>
      <c r="D3" s="281"/>
      <c r="E3" s="22">
        <v>28895.847060276003</v>
      </c>
      <c r="F3" s="23"/>
      <c r="G3" s="24"/>
      <c r="H3" s="25">
        <f>28895847060.276/1000000</f>
        <v>28895.847060276003</v>
      </c>
    </row>
    <row r="4" spans="1:10" s="20" customFormat="1" ht="15.75">
      <c r="B4" s="47" t="s">
        <v>62</v>
      </c>
      <c r="C4" s="47"/>
      <c r="D4" s="47"/>
      <c r="E4" s="24">
        <v>0.8</v>
      </c>
      <c r="F4" s="23"/>
      <c r="G4" s="24"/>
      <c r="H4" s="25"/>
    </row>
    <row r="5" spans="1:10" s="20" customFormat="1" ht="15.75">
      <c r="B5" s="281" t="s">
        <v>72</v>
      </c>
      <c r="C5" s="281"/>
      <c r="D5" s="281"/>
      <c r="E5" s="22">
        <f>+E3*0.8</f>
        <v>23116.677648220804</v>
      </c>
      <c r="F5" s="23"/>
      <c r="G5" s="25"/>
      <c r="H5" s="25"/>
    </row>
    <row r="6" spans="1:10" s="20" customFormat="1" ht="15.75">
      <c r="B6" s="281" t="s">
        <v>63</v>
      </c>
      <c r="C6" s="281"/>
      <c r="D6" s="281"/>
      <c r="E6" s="24">
        <v>0.1</v>
      </c>
      <c r="F6" s="23"/>
      <c r="G6" s="25"/>
      <c r="H6" s="25"/>
    </row>
    <row r="7" spans="1:10" s="20" customFormat="1" ht="15.75">
      <c r="B7" s="281" t="s">
        <v>64</v>
      </c>
      <c r="C7" s="281"/>
      <c r="D7" s="281"/>
      <c r="E7" s="22">
        <v>10</v>
      </c>
      <c r="F7" s="23"/>
      <c r="G7" s="25"/>
      <c r="H7" s="25"/>
    </row>
    <row r="8" spans="1:10" s="11" customFormat="1" ht="15.75">
      <c r="B8" s="19"/>
      <c r="C8" s="19"/>
      <c r="D8" s="19"/>
      <c r="E8" s="20"/>
      <c r="F8" s="21"/>
      <c r="G8" s="20"/>
    </row>
    <row r="9" spans="1:10" ht="21">
      <c r="A9" s="26" t="s">
        <v>0</v>
      </c>
      <c r="B9" s="26" t="s">
        <v>74</v>
      </c>
      <c r="C9" s="26" t="s">
        <v>65</v>
      </c>
      <c r="D9" s="27" t="s">
        <v>66</v>
      </c>
      <c r="E9" s="27" t="s">
        <v>67</v>
      </c>
      <c r="F9" s="26" t="s">
        <v>68</v>
      </c>
      <c r="G9" s="27" t="s">
        <v>69</v>
      </c>
      <c r="H9" s="27" t="s">
        <v>70</v>
      </c>
    </row>
    <row r="10" spans="1:10" s="14" customFormat="1" ht="15.75">
      <c r="A10" s="13">
        <v>1</v>
      </c>
      <c r="B10" s="34">
        <v>0</v>
      </c>
      <c r="C10" s="28">
        <v>0</v>
      </c>
      <c r="D10" s="28">
        <f>E5</f>
        <v>23116.677648220804</v>
      </c>
      <c r="E10" s="28">
        <v>0</v>
      </c>
      <c r="F10" s="29">
        <f>C10*$E$6</f>
        <v>0</v>
      </c>
      <c r="G10" s="28">
        <v>0</v>
      </c>
      <c r="H10" s="28">
        <f t="shared" ref="H10:H15" si="0">C10+D10-SUM(G10:G10)+F10</f>
        <v>23116.677648220804</v>
      </c>
    </row>
    <row r="11" spans="1:10" s="16" customFormat="1" ht="15.75">
      <c r="A11" s="13">
        <v>2</v>
      </c>
      <c r="B11" s="34">
        <v>1</v>
      </c>
      <c r="C11" s="30">
        <f>H10</f>
        <v>23116.677648220804</v>
      </c>
      <c r="D11" s="28"/>
      <c r="E11" s="31">
        <f>C11*$E$6</f>
        <v>2311.6677648220807</v>
      </c>
      <c r="F11" s="32"/>
      <c r="G11" s="30">
        <f>SUM($D$10:$D$10)/$E$7</f>
        <v>2311.6677648220802</v>
      </c>
      <c r="H11" s="28">
        <f>C11+D11-SUM(G11:G11)+F11</f>
        <v>20805.009883398725</v>
      </c>
      <c r="I11" s="15"/>
      <c r="J11" s="15"/>
    </row>
    <row r="12" spans="1:10" s="16" customFormat="1" ht="15.75">
      <c r="A12" s="13">
        <v>3</v>
      </c>
      <c r="B12" s="34">
        <v>2</v>
      </c>
      <c r="C12" s="30">
        <f t="shared" ref="C12:C15" si="1">H11</f>
        <v>20805.009883398725</v>
      </c>
      <c r="D12" s="28"/>
      <c r="E12" s="31">
        <f t="shared" ref="E12:E20" si="2">C12*$E$6</f>
        <v>2080.5009883398725</v>
      </c>
      <c r="F12" s="32"/>
      <c r="G12" s="30">
        <f t="shared" ref="G12:G20" si="3">SUM($D$10:$D$10)/$E$7</f>
        <v>2311.6677648220802</v>
      </c>
      <c r="H12" s="28">
        <f t="shared" si="0"/>
        <v>18493.342118576646</v>
      </c>
      <c r="I12" s="15"/>
      <c r="J12" s="15"/>
    </row>
    <row r="13" spans="1:10" s="16" customFormat="1" ht="15.75">
      <c r="A13" s="13">
        <v>4</v>
      </c>
      <c r="B13" s="34">
        <v>3</v>
      </c>
      <c r="C13" s="30">
        <f t="shared" si="1"/>
        <v>18493.342118576646</v>
      </c>
      <c r="D13" s="28"/>
      <c r="E13" s="31">
        <f t="shared" si="2"/>
        <v>1849.3342118576647</v>
      </c>
      <c r="F13" s="32"/>
      <c r="G13" s="30">
        <f t="shared" si="3"/>
        <v>2311.6677648220802</v>
      </c>
      <c r="H13" s="28">
        <f t="shared" si="0"/>
        <v>16181.674353754566</v>
      </c>
      <c r="I13" s="15"/>
      <c r="J13" s="15"/>
    </row>
    <row r="14" spans="1:10" s="16" customFormat="1" ht="15.75">
      <c r="A14" s="13">
        <v>5</v>
      </c>
      <c r="B14" s="34">
        <v>4</v>
      </c>
      <c r="C14" s="30">
        <f t="shared" si="1"/>
        <v>16181.674353754566</v>
      </c>
      <c r="D14" s="30"/>
      <c r="E14" s="31">
        <f t="shared" si="2"/>
        <v>1618.1674353754568</v>
      </c>
      <c r="F14" s="33"/>
      <c r="G14" s="30">
        <f t="shared" si="3"/>
        <v>2311.6677648220802</v>
      </c>
      <c r="H14" s="28">
        <f t="shared" si="0"/>
        <v>13870.006588932487</v>
      </c>
      <c r="I14" s="15"/>
      <c r="J14" s="15"/>
    </row>
    <row r="15" spans="1:10" s="16" customFormat="1" ht="15.75">
      <c r="A15" s="13">
        <v>6</v>
      </c>
      <c r="B15" s="34">
        <v>5</v>
      </c>
      <c r="C15" s="30">
        <f t="shared" si="1"/>
        <v>13870.006588932487</v>
      </c>
      <c r="D15" s="30"/>
      <c r="E15" s="31">
        <f t="shared" si="2"/>
        <v>1387.0006588932488</v>
      </c>
      <c r="F15" s="30"/>
      <c r="G15" s="30">
        <f t="shared" si="3"/>
        <v>2311.6677648220802</v>
      </c>
      <c r="H15" s="28">
        <f t="shared" si="0"/>
        <v>11558.338824110408</v>
      </c>
      <c r="I15" s="15"/>
      <c r="J15" s="15"/>
    </row>
    <row r="16" spans="1:10" ht="15.75">
      <c r="A16" s="13">
        <v>7</v>
      </c>
      <c r="B16" s="34">
        <v>6</v>
      </c>
      <c r="C16" s="30">
        <f>H15</f>
        <v>11558.338824110408</v>
      </c>
      <c r="D16" s="30"/>
      <c r="E16" s="31">
        <f t="shared" si="2"/>
        <v>1155.8338824110408</v>
      </c>
      <c r="F16" s="30"/>
      <c r="G16" s="30">
        <f t="shared" si="3"/>
        <v>2311.6677648220802</v>
      </c>
      <c r="H16" s="28">
        <f>C16+D16-SUM(G16:G16)+F16</f>
        <v>9246.6710592883283</v>
      </c>
    </row>
    <row r="17" spans="1:8" ht="15.75">
      <c r="A17" s="13">
        <v>8</v>
      </c>
      <c r="B17" s="34">
        <v>7</v>
      </c>
      <c r="C17" s="30">
        <f>H16</f>
        <v>9246.6710592883283</v>
      </c>
      <c r="D17" s="30"/>
      <c r="E17" s="31">
        <f t="shared" si="2"/>
        <v>924.66710592883283</v>
      </c>
      <c r="F17" s="30"/>
      <c r="G17" s="30">
        <f t="shared" si="3"/>
        <v>2311.6677648220802</v>
      </c>
      <c r="H17" s="28">
        <f>C17+D17-SUM(G17:G17)+F17</f>
        <v>6935.003294466248</v>
      </c>
    </row>
    <row r="18" spans="1:8" ht="15.75">
      <c r="A18" s="13">
        <v>9</v>
      </c>
      <c r="B18" s="34">
        <v>8</v>
      </c>
      <c r="C18" s="30">
        <f>H17</f>
        <v>6935.003294466248</v>
      </c>
      <c r="D18" s="30"/>
      <c r="E18" s="31">
        <f t="shared" si="2"/>
        <v>693.50032944662485</v>
      </c>
      <c r="F18" s="30"/>
      <c r="G18" s="30">
        <f t="shared" si="3"/>
        <v>2311.6677648220802</v>
      </c>
      <c r="H18" s="28">
        <f>C18+D18-SUM(G18:G18)+F18</f>
        <v>4623.3355296441678</v>
      </c>
    </row>
    <row r="19" spans="1:8" ht="15.75">
      <c r="A19" s="13">
        <v>10</v>
      </c>
      <c r="B19" s="34">
        <v>9</v>
      </c>
      <c r="C19" s="30">
        <f>H18</f>
        <v>4623.3355296441678</v>
      </c>
      <c r="D19" s="30"/>
      <c r="E19" s="31">
        <f t="shared" si="2"/>
        <v>462.33355296441681</v>
      </c>
      <c r="F19" s="30"/>
      <c r="G19" s="30">
        <f t="shared" si="3"/>
        <v>2311.6677648220802</v>
      </c>
      <c r="H19" s="28">
        <f>C19+D19-SUM(G19:G19)+F19</f>
        <v>2311.6677648220875</v>
      </c>
    </row>
    <row r="20" spans="1:8" ht="15.75">
      <c r="A20" s="13">
        <v>11</v>
      </c>
      <c r="B20" s="34">
        <v>10</v>
      </c>
      <c r="C20" s="30">
        <f>H19</f>
        <v>2311.6677648220875</v>
      </c>
      <c r="D20" s="30"/>
      <c r="E20" s="31">
        <f t="shared" si="2"/>
        <v>231.16677648220877</v>
      </c>
      <c r="F20" s="30"/>
      <c r="G20" s="30">
        <f t="shared" si="3"/>
        <v>2311.6677648220802</v>
      </c>
      <c r="H20" s="28">
        <f>C20+D20-SUM(G20:G20)+F20</f>
        <v>7.2759576141834259E-12</v>
      </c>
    </row>
  </sheetData>
  <mergeCells count="5">
    <mergeCell ref="A1:H1"/>
    <mergeCell ref="B3:D3"/>
    <mergeCell ref="B5:D5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gia đoạn 1</vt:lpstr>
      <vt:lpstr>Sơ bộ TMĐT</vt:lpstr>
      <vt:lpstr>kinh doanh</vt:lpstr>
      <vt:lpstr>Hiệu quả kinh tế</vt:lpstr>
      <vt:lpstr>Bảng tính lãi vay</vt:lpstr>
      <vt:lpstr>Bảng tính chi phí</vt:lpstr>
      <vt:lpstr>Gia tri khu dat</vt:lpstr>
      <vt:lpstr>Bảng tính lãi vay (2)</vt:lpstr>
      <vt:lpstr>Bảng tính chi phí (2)</vt:lpstr>
      <vt:lpstr>'Bảng tính chi phí'!Print_Area</vt:lpstr>
      <vt:lpstr>'Bảng tính lãi vay'!Print_Area</vt:lpstr>
      <vt:lpstr>'Gia tri khu dat'!Print_Area</vt:lpstr>
      <vt:lpstr>'Hiệu quả kinh tế'!Print_Area</vt:lpstr>
      <vt:lpstr>'kinh doanh'!Print_Area</vt:lpstr>
      <vt:lpstr>'Sơ bộ TMĐT'!Print_Area</vt:lpstr>
      <vt:lpstr>'Bảng tính chi phí'!Print_Titles</vt:lpstr>
      <vt:lpstr>'gia đoạn 1'!Print_Titles</vt:lpstr>
      <vt:lpstr>'Gia tri khu dat'!Print_Titles</vt:lpstr>
      <vt:lpstr>'Hiệu quả kinh tế'!Print_Titles</vt:lpstr>
      <vt:lpstr>'kinh doanh'!Print_Titles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 THEU</cp:lastModifiedBy>
  <cp:lastPrinted>2022-05-09T10:46:23Z</cp:lastPrinted>
  <dcterms:created xsi:type="dcterms:W3CDTF">2021-06-14T04:38:52Z</dcterms:created>
  <dcterms:modified xsi:type="dcterms:W3CDTF">2022-05-09T10:47:48Z</dcterms:modified>
</cp:coreProperties>
</file>